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48AF0D25-F0CA-4088-A8FF-4B21901C258D}"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G81" i="29"/>
  <c r="J82" i="32"/>
  <c r="G82" i="32" s="1"/>
  <c r="G34" i="32"/>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G78" i="47" l="1"/>
  <c r="F71" i="47"/>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GG130" i="28"/>
  <c r="GG131" i="28" s="1"/>
  <c r="KG130" i="28"/>
  <c r="KG131" i="28" s="1"/>
  <c r="AT130" i="28"/>
  <c r="AT131" i="28" s="1"/>
  <c r="CB130" i="28"/>
  <c r="CB131" i="28" s="1"/>
  <c r="EO130" i="28"/>
  <c r="EO131" i="28" s="1"/>
  <c r="IO130" i="28"/>
  <c r="IO131" i="28" s="1"/>
  <c r="BT130" i="28"/>
  <c r="FT130" i="28"/>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LT131" i="28"/>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BT131" i="28"/>
  <c r="CG131" i="28"/>
  <c r="F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E13" i="47" l="1"/>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DW52" i="47" l="1"/>
  <c r="HW52" i="47"/>
  <c r="IS64" i="28"/>
  <c r="LY16" i="47"/>
  <c r="AD54" i="33"/>
  <c r="LE24" i="28"/>
  <c r="KJ52" i="47"/>
  <c r="FJ52" i="47"/>
  <c r="IW52" i="47"/>
  <c r="EJ52" i="47"/>
  <c r="HJ52" i="47"/>
  <c r="W52" i="47"/>
  <c r="BW52" i="47"/>
  <c r="C52" i="28"/>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IL16" i="28"/>
  <c r="JL16" i="28"/>
  <c r="CD17" i="28"/>
  <c r="H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C87"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E22" i="47" l="1"/>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Z30" i="71"/>
  <c r="C49" i="28"/>
  <c r="C43" i="28"/>
  <c r="C88" i="47"/>
  <c r="Y14" i="28"/>
  <c r="Z30" i="61"/>
  <c r="T24" i="61"/>
  <c r="V24" i="61" s="1"/>
  <c r="C43" i="47"/>
  <c r="T24" i="71"/>
  <c r="Z24" i="61"/>
  <c r="Z24" i="71"/>
  <c r="C8" i="28"/>
  <c r="E80" i="48"/>
  <c r="AA38" i="33"/>
  <c r="Q27" i="69" s="1"/>
  <c r="H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E49" i="28"/>
  <c r="FY49" i="28" s="1"/>
  <c r="HL14" i="28"/>
  <c r="EL14" i="28"/>
  <c r="HY14" i="28"/>
  <c r="Z29" i="62"/>
  <c r="CL14" i="28"/>
  <c r="Z32" i="67"/>
  <c r="C64" i="47"/>
  <c r="T26" i="67"/>
  <c r="AA32" i="67" s="1"/>
  <c r="Z27" i="71"/>
  <c r="Z26" i="67"/>
  <c r="HS130" i="28"/>
  <c r="HS131" i="28" s="1"/>
  <c r="Z30" i="63"/>
  <c r="T24" i="65"/>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D30" i="48"/>
  <c r="AF13" i="33"/>
  <c r="P22" i="68" s="1"/>
  <c r="DD130" i="28"/>
  <c r="DD131" i="28" s="1"/>
  <c r="E88" i="48"/>
  <c r="AG33" i="33"/>
  <c r="Q26" i="68" s="1"/>
  <c r="H5"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BE130" i="28"/>
  <c r="BE131" i="28" s="1"/>
  <c r="BR130" i="28"/>
  <c r="HR130" i="28"/>
  <c r="R130" i="28"/>
  <c r="R131" i="28" s="1"/>
  <c r="GD130" i="28"/>
  <c r="GD131" i="28" s="1"/>
  <c r="IQ130" i="28"/>
  <c r="IQ131" i="28" s="1"/>
  <c r="LS130" i="28"/>
  <c r="LS131" i="28" s="1"/>
  <c r="ED130" i="28"/>
  <c r="DQ130" i="28"/>
  <c r="DQ131" i="28" s="1"/>
  <c r="HE130" i="28"/>
  <c r="HE131" i="28" s="1"/>
  <c r="BD130" i="28"/>
  <c r="BD131" i="28" s="1"/>
  <c r="HF130" i="28"/>
  <c r="HF131" i="28" s="1"/>
  <c r="HQ130" i="28"/>
  <c r="HQ131" i="28" s="1"/>
  <c r="S130" i="28"/>
  <c r="S131" i="28" s="1"/>
  <c r="GE130" i="28"/>
  <c r="IE130" i="28"/>
  <c r="LR130" i="28"/>
  <c r="LR131" i="28" s="1"/>
  <c r="EE130" i="28"/>
  <c r="EE131" i="28" s="1"/>
  <c r="MF130" i="28"/>
  <c r="MF131" i="28" s="1"/>
  <c r="DR130" i="28"/>
  <c r="FQ130" i="28"/>
  <c r="FQ131" i="28" s="1"/>
  <c r="HD130" i="28"/>
  <c r="HD131" i="28" s="1"/>
  <c r="GR130" i="28"/>
  <c r="GR131" i="28" s="1"/>
  <c r="KQ130" i="28"/>
  <c r="JF130" i="28"/>
  <c r="JF131" i="28" s="1"/>
  <c r="Q130" i="28"/>
  <c r="Q131" i="28" s="1"/>
  <c r="GF130" i="28"/>
  <c r="GF131" i="28" s="1"/>
  <c r="ID130" i="28"/>
  <c r="ID131" i="28" s="1"/>
  <c r="CE130" i="28"/>
  <c r="CE131" i="28" s="1"/>
  <c r="EF130" i="28"/>
  <c r="EF131" i="28" s="1"/>
  <c r="MD130" i="28"/>
  <c r="MD131" i="28" s="1"/>
  <c r="CR130" i="28"/>
  <c r="FR130" i="28"/>
  <c r="FR131" i="28" s="1"/>
  <c r="GS130" i="28"/>
  <c r="GS131" i="28" s="1"/>
  <c r="KS130" i="28"/>
  <c r="KS131" i="28" s="1"/>
  <c r="JE130" i="28"/>
  <c r="LE130" i="28"/>
  <c r="LE131" i="28" s="1"/>
  <c r="IF130" i="28"/>
  <c r="IF131" i="28" s="1"/>
  <c r="CF130" i="28"/>
  <c r="CF131" i="28" s="1"/>
  <c r="ER130" i="28"/>
  <c r="ME130" i="28"/>
  <c r="ME131" i="28" s="1"/>
  <c r="CS130" i="28"/>
  <c r="CS131" i="28" s="1"/>
  <c r="FS130" i="28"/>
  <c r="FS131" i="28" s="1"/>
  <c r="GQ130" i="28"/>
  <c r="GQ131" i="28" s="1"/>
  <c r="KR130" i="28"/>
  <c r="KR131" i="28" s="1"/>
  <c r="JD130" i="28"/>
  <c r="JD131" i="28" s="1"/>
  <c r="LF130" i="28"/>
  <c r="LF131" i="28" s="1"/>
  <c r="AR130" i="28"/>
  <c r="CD130" i="28"/>
  <c r="CD131" i="28" s="1"/>
  <c r="ES130" i="28"/>
  <c r="ES131" i="28" s="1"/>
  <c r="JQ130" i="28"/>
  <c r="JQ131" i="28" s="1"/>
  <c r="CQ130" i="28"/>
  <c r="CQ131" i="28" s="1"/>
  <c r="KF130" i="28"/>
  <c r="KF131" i="28" s="1"/>
  <c r="BS130" i="28"/>
  <c r="BS131" i="28" s="1"/>
  <c r="DF130" i="28"/>
  <c r="DF131" i="28" s="1"/>
  <c r="AD130" i="28"/>
  <c r="LD130" i="28"/>
  <c r="LD131" i="28" s="1"/>
  <c r="AQ130" i="28"/>
  <c r="AQ131" i="28" s="1"/>
  <c r="FE130" i="28"/>
  <c r="FE131" i="28" s="1"/>
  <c r="EQ130" i="28"/>
  <c r="EQ131" i="28" s="1"/>
  <c r="JS130" i="28"/>
  <c r="JS131" i="28" s="1"/>
  <c r="KD130" i="28"/>
  <c r="KD131" i="28" s="1"/>
  <c r="BQ130" i="28"/>
  <c r="BQ131" i="28" s="1"/>
  <c r="E42" i="47"/>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KQ131" i="28"/>
  <c r="ED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HR131" i="28"/>
  <c r="AD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L42" i="47"/>
  <c r="JY42" i="47"/>
  <c r="FY42" i="47"/>
  <c r="HL42" i="47"/>
  <c r="L42" i="47"/>
  <c r="AY42" i="47"/>
  <c r="HY42" i="47"/>
  <c r="GY42" i="47"/>
  <c r="LY42" i="47"/>
  <c r="AL42" i="47"/>
  <c r="EL42" i="47"/>
  <c r="EY42" i="47"/>
  <c r="D42" i="47"/>
  <c r="BY42" i="47"/>
  <c r="GL42" i="47"/>
  <c r="LL42" i="47"/>
  <c r="BL42" i="47"/>
  <c r="KL42" i="47"/>
  <c r="Y42" i="47"/>
  <c r="CY42" i="47"/>
  <c r="IL42" i="47"/>
  <c r="CL42" i="47"/>
  <c r="FL42" i="47"/>
  <c r="KY42" i="47"/>
  <c r="AR131" i="28"/>
  <c r="KE131" i="28"/>
  <c r="BR131" i="28"/>
  <c r="BF131" i="28"/>
  <c r="CR131" i="28"/>
  <c r="ER131" i="28"/>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GE131" i="28"/>
  <c r="IE131"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EW14" i="28"/>
  <c r="BW14" i="28"/>
  <c r="KW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AA30" i="65"/>
  <c r="V24" i="65"/>
  <c r="U24" i="65"/>
  <c r="AA24" i="65"/>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AA29" i="62"/>
  <c r="U26" i="66"/>
  <c r="AA32" i="66"/>
  <c r="AA26" i="66"/>
  <c r="V26" i="66"/>
  <c r="HL49" i="28"/>
  <c r="IY49" i="28"/>
  <c r="AL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U26"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CJ10" i="47" l="1"/>
  <c r="Z30" i="69"/>
  <c r="J10" i="47"/>
  <c r="H6" i="69"/>
  <c r="GL50" i="28"/>
  <c r="LL50" i="28"/>
  <c r="AY50" i="28"/>
  <c r="N6" i="69"/>
  <c r="IY50" i="28"/>
  <c r="HL50" i="28"/>
  <c r="CL50" i="28"/>
  <c r="BL50" i="28"/>
  <c r="M6" i="69"/>
  <c r="O8" i="69"/>
  <c r="I8" i="69"/>
  <c r="O7" i="69"/>
  <c r="H5" i="69"/>
  <c r="LY50" i="28"/>
  <c r="FY50" i="28"/>
  <c r="CY50" i="28"/>
  <c r="EL50" i="28"/>
  <c r="O6" i="69"/>
  <c r="H8" i="69"/>
  <c r="N7" i="69"/>
  <c r="O5" i="69"/>
  <c r="I7" i="69"/>
  <c r="D50" i="28"/>
  <c r="GY50" i="28"/>
  <c r="Y50" i="28"/>
  <c r="I6" i="69"/>
  <c r="N5" i="69"/>
  <c r="K5" i="69" s="1"/>
  <c r="E47" i="26" s="1"/>
  <c r="M8" i="69"/>
  <c r="N8" i="69"/>
  <c r="M5" i="69"/>
  <c r="I5" i="69"/>
  <c r="M7" i="69"/>
  <c r="JY50" i="28"/>
  <c r="HY50" i="28"/>
  <c r="I8" i="68"/>
  <c r="KJ10" i="47"/>
  <c r="IW10" i="47"/>
  <c r="EW10" i="47"/>
  <c r="DW10" i="47"/>
  <c r="AA29" i="64"/>
  <c r="KW10" i="47"/>
  <c r="JW10" i="47"/>
  <c r="DJ10" i="47"/>
  <c r="FJ10" i="47"/>
  <c r="AA23" i="64"/>
  <c r="LJ10" i="47"/>
  <c r="AJ10" i="47"/>
  <c r="W10" i="47"/>
  <c r="GJ10" i="47"/>
  <c r="AA24" i="61"/>
  <c r="U23" i="64"/>
  <c r="B10" i="47"/>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BY49" i="28"/>
  <c r="HY49" i="28"/>
  <c r="KY49" i="28"/>
  <c r="KJ14" i="28"/>
  <c r="AW14" i="28"/>
  <c r="HW14" i="28"/>
  <c r="JJ14" i="28"/>
  <c r="CK14" i="28"/>
  <c r="X14" i="28"/>
  <c r="GK14" i="28"/>
  <c r="DL49" i="28"/>
  <c r="EY49" i="28"/>
  <c r="GL49" i="28"/>
  <c r="JY49" i="28"/>
  <c r="B14" i="28"/>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FS128" i="47"/>
  <c r="FS129" i="47" s="1"/>
  <c r="O5" i="68"/>
  <c r="I5" i="68"/>
  <c r="J5" i="68" s="1"/>
  <c r="O6" i="68"/>
  <c r="H7" i="68"/>
  <c r="I6" i="68"/>
  <c r="O7" i="68"/>
  <c r="N6" i="68"/>
  <c r="M7" i="68"/>
  <c r="N7" i="68"/>
  <c r="O8" i="68"/>
  <c r="N5" i="68"/>
  <c r="N8" i="68"/>
  <c r="KD128" i="47"/>
  <c r="ID128" i="47"/>
  <c r="CQ128" i="47"/>
  <c r="EQ128" i="47"/>
  <c r="EQ129" i="47" s="1"/>
  <c r="DD128" i="47"/>
  <c r="DD129" i="47" s="1"/>
  <c r="GS128" i="47"/>
  <c r="GS129" i="47" s="1"/>
  <c r="CD128" i="47"/>
  <c r="CD129" i="47" s="1"/>
  <c r="AF128" i="47"/>
  <c r="LF128" i="47"/>
  <c r="AS128" i="47"/>
  <c r="AS129" i="47" s="1"/>
  <c r="IS128" i="47"/>
  <c r="FF128" i="47"/>
  <c r="FF129" i="47" s="1"/>
  <c r="IF128" i="47"/>
  <c r="IF129" i="47" s="1"/>
  <c r="JQ128" i="47"/>
  <c r="JQ129" i="47" s="1"/>
  <c r="ES128" i="47"/>
  <c r="ES129" i="47" s="1"/>
  <c r="LQ128" i="47"/>
  <c r="LQ129" i="47" s="1"/>
  <c r="IQ128" i="47"/>
  <c r="FD128" i="47"/>
  <c r="FD129" i="47" s="1"/>
  <c r="JS128" i="47"/>
  <c r="Q128" i="47"/>
  <c r="Q129" i="47" s="1"/>
  <c r="LS128" i="47"/>
  <c r="AD128" i="47"/>
  <c r="LD128" i="47"/>
  <c r="LD129" i="47" s="1"/>
  <c r="GD128" i="47"/>
  <c r="GD129" i="47" s="1"/>
  <c r="S128" i="47"/>
  <c r="Z28" i="68"/>
  <c r="T22" i="68"/>
  <c r="Z22" i="68"/>
  <c r="C76" i="28"/>
  <c r="C76" i="47"/>
  <c r="C78" i="28"/>
  <c r="Z24" i="68"/>
  <c r="Z30" i="68"/>
  <c r="T24" i="68"/>
  <c r="C78" i="47"/>
  <c r="EF128" i="47"/>
  <c r="EF129" i="47" s="1"/>
  <c r="GF128" i="47"/>
  <c r="DS128" i="47"/>
  <c r="DS129" i="47" s="1"/>
  <c r="HF128" i="47"/>
  <c r="HF129" i="47" s="1"/>
  <c r="MD128" i="47"/>
  <c r="JD128" i="47"/>
  <c r="KQ128" i="47"/>
  <c r="KQ129" i="47" s="1"/>
  <c r="ED128" i="47"/>
  <c r="JF128" i="47"/>
  <c r="JF129" i="47" s="1"/>
  <c r="DQ128" i="47"/>
  <c r="DQ129" i="47" s="1"/>
  <c r="HD128" i="47"/>
  <c r="HD129" i="47" s="1"/>
  <c r="BQ128" i="47"/>
  <c r="BQ129" i="47" s="1"/>
  <c r="MF128" i="47"/>
  <c r="KS128" i="47"/>
  <c r="BS128" i="47"/>
  <c r="BS129" i="47" s="1"/>
  <c r="HQ128" i="47"/>
  <c r="KF128" i="47"/>
  <c r="KF129" i="47" s="1"/>
  <c r="BF128" i="47"/>
  <c r="BF129" i="47" s="1"/>
  <c r="CS128" i="47"/>
  <c r="HS128" i="47"/>
  <c r="HS129" i="47" s="1"/>
  <c r="DF128" i="47"/>
  <c r="E80" i="28"/>
  <c r="Z32" i="68"/>
  <c r="Z26" i="68"/>
  <c r="T26" i="68"/>
  <c r="E80" i="47"/>
  <c r="FQ128" i="47"/>
  <c r="FQ129" i="47" s="1"/>
  <c r="EW22" i="28"/>
  <c r="D48" i="28"/>
  <c r="LK48" i="28" s="1"/>
  <c r="IJ22" i="28"/>
  <c r="GY48" i="28"/>
  <c r="B22" i="28"/>
  <c r="EY48" i="28"/>
  <c r="KW46" i="47"/>
  <c r="GQ128" i="47"/>
  <c r="IL45" i="28"/>
  <c r="KL48" i="28"/>
  <c r="BD128" i="47"/>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K8" i="72"/>
  <c r="E30" i="26" s="1"/>
  <c r="J5" i="66"/>
  <c r="J8" i="69"/>
  <c r="K7" i="69"/>
  <c r="E49" i="26" s="1"/>
  <c r="J7" i="69"/>
  <c r="L5" i="66"/>
  <c r="O7" i="62"/>
  <c r="K8" i="67"/>
  <c r="I7" i="62"/>
  <c r="N8" i="62"/>
  <c r="J8" i="72"/>
  <c r="L5" i="67"/>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L6" i="69"/>
  <c r="J8" i="66"/>
  <c r="J6" i="71"/>
  <c r="AA25" i="65"/>
  <c r="GB132" i="28"/>
  <c r="FV2" i="28" s="1"/>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DK7" i="47"/>
  <c r="BX7" i="47"/>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BV10" i="28"/>
  <c r="HV10" i="28"/>
  <c r="FV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IS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FK34" i="47"/>
  <c r="HX34" i="47"/>
  <c r="AX34" i="47"/>
  <c r="IK34" i="47"/>
  <c r="K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DK48" i="28"/>
  <c r="BK48" i="28"/>
  <c r="BX48" i="28"/>
  <c r="GK48" i="28"/>
  <c r="LX48" i="28"/>
  <c r="E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FI41" i="28"/>
  <c r="AV41" i="28"/>
  <c r="I41"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HI57" i="28"/>
  <c r="GI57" i="28"/>
  <c r="DV57" i="28"/>
  <c r="CI57" i="28"/>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HV14" i="28"/>
  <c r="GI14" i="28"/>
  <c r="GV14" i="28"/>
  <c r="FI14" i="28"/>
  <c r="FV14" i="28"/>
  <c r="LV14" i="28"/>
  <c r="KI14" i="28"/>
  <c r="KV14" i="28"/>
  <c r="JI14" i="28"/>
  <c r="LI14" i="28"/>
  <c r="II14" i="28"/>
  <c r="IV14" i="28"/>
  <c r="HI14" i="28"/>
  <c r="BI14" i="28"/>
  <c r="DV14" i="28"/>
  <c r="CV14" i="28"/>
  <c r="CI14" i="28"/>
  <c r="EI14" i="28"/>
  <c r="V14" i="28"/>
  <c r="AI14" i="28"/>
  <c r="I14" i="28"/>
  <c r="BV14" i="28"/>
  <c r="DI14" i="28"/>
  <c r="EV14" i="28"/>
  <c r="JV14" i="28"/>
  <c r="A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S129"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KD129" i="47"/>
  <c r="IR107" i="47"/>
  <c r="IQ129"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GI22" i="47"/>
  <c r="B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BD129"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D129" i="47"/>
  <c r="CR107" i="47"/>
  <c r="CQ129" i="47"/>
  <c r="DR107" i="47"/>
  <c r="S129"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HQ129" i="47"/>
  <c r="ME107" i="47"/>
  <c r="MD129" i="47"/>
  <c r="KI29" i="47"/>
  <c r="JV29" i="47"/>
  <c r="GI29" i="47"/>
  <c r="FV29" i="47"/>
  <c r="CI29" i="47"/>
  <c r="B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JD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J8" i="68" l="1"/>
  <c r="E50" i="26"/>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8" i="69" s="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I17" i="68"/>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L9" i="68" l="1"/>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X14" i="68" l="1"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6" i="68" l="1"/>
  <c r="M16" i="68" s="1"/>
  <c r="P16" i="68" s="1"/>
  <c r="Q16" i="68" s="1"/>
  <c r="T16" i="68" s="1"/>
  <c r="U16" i="68" s="1"/>
  <c r="L17" i="68"/>
  <c r="M17" i="68" s="1"/>
  <c r="P17" i="68" s="1"/>
  <c r="Q17" i="68" s="1"/>
  <c r="T17" i="68" s="1"/>
  <c r="U17" i="68" s="1"/>
  <c r="L15" i="68"/>
  <c r="M15" i="68" s="1"/>
  <c r="P15" i="68" s="1"/>
  <c r="Q15" i="68" s="1"/>
  <c r="T15" i="68" s="1"/>
  <c r="U15" i="68" s="1"/>
  <c r="L14" i="68"/>
  <c r="M14" i="68" s="1"/>
  <c r="P14" i="68"/>
  <c r="Q14" i="68" s="1"/>
  <c r="T14" i="68" s="1"/>
  <c r="U14" i="68" s="1"/>
  <c r="L14" i="61"/>
  <c r="M14" i="61" s="1"/>
  <c r="P14" i="61" s="1"/>
  <c r="Q14" i="61" s="1"/>
  <c r="L15" i="61"/>
  <c r="M15" i="61" s="1"/>
  <c r="P15" i="61" s="1"/>
  <c r="Q15" i="61" s="1"/>
  <c r="L16" i="61"/>
  <c r="M16" i="61" s="1"/>
  <c r="P16" i="61" s="1"/>
  <c r="Q16" i="61" s="1"/>
  <c r="T16" i="61" s="1"/>
  <c r="U16" i="61" s="1"/>
  <c r="L17" i="61"/>
  <c r="M17" i="61" s="1"/>
  <c r="P17" i="61" s="1"/>
  <c r="Q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5" i="61"/>
  <c r="U15" i="61" s="1"/>
  <c r="T14" i="70"/>
  <c r="U14" i="70" s="1"/>
  <c r="T17" i="70"/>
  <c r="U17" i="70" s="1"/>
  <c r="T16" i="72"/>
  <c r="U16" i="72" s="1"/>
  <c r="T15" i="66"/>
  <c r="U15" i="66" s="1"/>
  <c r="T16" i="63"/>
  <c r="U16" i="63" s="1"/>
  <c r="T17" i="63"/>
  <c r="U17" i="63" s="1"/>
  <c r="T16" i="70"/>
  <c r="U16" i="70" s="1"/>
  <c r="T14" i="72"/>
  <c r="U14" i="72" s="1"/>
  <c r="T15" i="70"/>
  <c r="U15" i="70" s="1"/>
  <c r="T16" i="62" l="1"/>
  <c r="U16" i="62" s="1"/>
  <c r="BA22" i="66"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AF16" i="62" l="1"/>
  <c r="AG16" i="62" s="1"/>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AI15" i="61" l="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U5" i="69" s="1" a="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5" i="61" l="1"/>
  <c r="AM15" i="61" s="1"/>
  <c r="AO15" i="61" s="1"/>
  <c r="AP15" i="61" s="1"/>
  <c r="AU5" i="62" a="1"/>
  <c r="AU6" i="62" s="1"/>
  <c r="AV15" i="62" s="1"/>
  <c r="AU5" i="64" a="1"/>
  <c r="AU6" i="64" s="1"/>
  <c r="AV15" i="64" s="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U5" i="61" s="1" a="1"/>
  <c r="AO14" i="61"/>
  <c r="AP14" i="61" s="1"/>
  <c r="AO15" i="67"/>
  <c r="AP15" i="67" s="1"/>
  <c r="AR15" i="67" s="1"/>
  <c r="AS15" i="67" s="1"/>
  <c r="G15" i="67" s="1"/>
  <c r="F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U8" i="64"/>
  <c r="AV17" i="64" s="1"/>
  <c r="AO17" i="64"/>
  <c r="AP17" i="64" s="1"/>
  <c r="AO15" i="72"/>
  <c r="AP15" i="72" s="1"/>
  <c r="AU7" i="69"/>
  <c r="AV16" i="69" s="1"/>
  <c r="AO16" i="69"/>
  <c r="AP16" i="69" s="1"/>
  <c r="AU7" i="64"/>
  <c r="AV16" i="64" s="1"/>
  <c r="AO16" i="64"/>
  <c r="AP16" i="64" s="1"/>
  <c r="AL17" i="72"/>
  <c r="AM17" i="72" s="1"/>
  <c r="AL15" i="70"/>
  <c r="AM15" i="70" s="1"/>
  <c r="AU7" i="62" l="1"/>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D14" i="73" l="1"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D78" i="73" l="1"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BZ14" i="67" a="1"/>
  <c r="CA14" i="67" a="1"/>
  <c r="CA17" i="67" s="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F63" i="73"/>
  <c r="M25" i="67"/>
  <c r="M23" i="67"/>
  <c r="M24" i="67"/>
  <c r="M22" i="67"/>
  <c r="CA16" i="67"/>
  <c r="E96" i="73"/>
  <c r="AJ5" i="33"/>
  <c r="D15" i="45"/>
  <c r="L24" i="67"/>
  <c r="K21" i="67"/>
  <c r="I21" i="67"/>
  <c r="H21" i="67"/>
  <c r="J21" i="67"/>
  <c r="CB14" i="67"/>
  <c r="CB17" i="67"/>
  <c r="CB15" i="67"/>
  <c r="CB16" i="67"/>
  <c r="BZ16" i="67"/>
  <c r="BZ14" i="67"/>
  <c r="AK94" i="73" s="1" a="1"/>
  <c r="BZ15" i="67"/>
  <c r="BZ17" i="67"/>
  <c r="CC17" i="67"/>
  <c r="CC15" i="67"/>
  <c r="CC16" i="67"/>
  <c r="CC14"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E11" i="45" s="1"/>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F55" i="73" l="1"/>
  <c r="F97" i="73"/>
  <c r="F17" i="73"/>
  <c r="CA14" i="67"/>
  <c r="AL94" i="73" s="1"/>
  <c r="CA15" i="67"/>
  <c r="AL95" i="73" s="1"/>
  <c r="F65" i="73"/>
  <c r="F14" i="73"/>
  <c r="F71" i="73"/>
  <c r="F95" i="73"/>
  <c r="AL96"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c r="AN94" i="73" a="1"/>
  <c r="K69" i="73"/>
  <c r="I94" i="73"/>
  <c r="F94" i="73" s="1"/>
  <c r="I73" i="73"/>
  <c r="F73" i="73" s="1"/>
  <c r="E22" i="73" a="1"/>
  <c r="G25" i="73"/>
  <c r="L61" i="73"/>
  <c r="AN96" i="73"/>
  <c r="J69" i="73" a="1"/>
  <c r="I30" i="73"/>
  <c r="I30" i="73" a="1"/>
  <c r="D33" i="73"/>
  <c r="I49" i="73"/>
  <c r="E46" i="73" a="1"/>
  <c r="G22" i="73"/>
  <c r="G22" i="73" a="1"/>
  <c r="I87" i="73"/>
  <c r="K61" i="73"/>
  <c r="I38" i="73"/>
  <c r="I38" i="73" a="1"/>
  <c r="I39" i="73" s="1"/>
  <c r="AN95" i="73"/>
  <c r="E30" i="73" a="1"/>
  <c r="E32" i="73" s="1"/>
  <c r="D31" i="73"/>
  <c r="I33" i="73"/>
  <c r="G47" i="73"/>
  <c r="G46" i="73" a="1"/>
  <c r="G46" i="73" s="1"/>
  <c r="F46" i="73" s="1"/>
  <c r="I15" i="73"/>
  <c r="F15" i="73" s="1"/>
  <c r="M61" i="73"/>
  <c r="E38" i="73" a="1"/>
  <c r="M53" i="73"/>
  <c r="G79" i="73"/>
  <c r="I81" i="73"/>
  <c r="AN97" i="73"/>
  <c r="AM94" i="73" a="1"/>
  <c r="AM95" i="73" s="1"/>
  <c r="G86" i="73" a="1"/>
  <c r="G89" i="73" s="1"/>
  <c r="D32" i="73"/>
  <c r="I78" i="73"/>
  <c r="I78" i="73" a="1"/>
  <c r="I79" i="73" s="1"/>
  <c r="L53" i="73"/>
  <c r="I41" i="73"/>
  <c r="AK97" i="73"/>
  <c r="AP97" i="73" s="1"/>
  <c r="I72" i="73"/>
  <c r="J13" i="73" a="1"/>
  <c r="M13" i="73" s="1"/>
  <c r="G62" i="73"/>
  <c r="F62" i="73" s="1"/>
  <c r="G23" i="73"/>
  <c r="I22" i="73" a="1"/>
  <c r="I25" i="73" s="1"/>
  <c r="G38" i="73" a="1"/>
  <c r="G38" i="73" s="1"/>
  <c r="K53" i="73"/>
  <c r="AK95" i="73"/>
  <c r="AP95" i="73" s="1"/>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F78" i="73"/>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F89" i="73" l="1"/>
  <c r="F38" i="73"/>
  <c r="F81" i="73"/>
  <c r="F30" i="73"/>
  <c r="F79" i="73"/>
  <c r="AW30" i="73" a="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AP57" i="73" s="1"/>
  <c r="O56" i="73"/>
  <c r="AK56" i="73"/>
  <c r="AP56" i="73" s="1"/>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P64" i="73" s="1"/>
  <c r="AM80" i="73"/>
  <c r="AN63" i="73"/>
  <c r="M85" i="73"/>
  <c r="AL63" i="73"/>
  <c r="R78" i="73" a="1"/>
  <c r="R78" i="73" s="1"/>
  <c r="I24" i="73"/>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T14" i="73" s="1"/>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BU13" i="67"/>
  <c r="BV13" i="67"/>
  <c r="BS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T62" i="73" s="1"/>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D109" i="48"/>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T63" i="73" l="1"/>
  <c r="BF13" i="67"/>
  <c r="BH13" i="67"/>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AP65" i="73" s="1"/>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X93"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M64" i="73"/>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T15" i="73" s="1"/>
  <c r="P55" i="73"/>
  <c r="P94" i="73"/>
  <c r="M37" i="73"/>
  <c r="P22" i="73"/>
  <c r="P22" i="73" a="1"/>
  <c r="P23" i="73" s="1"/>
  <c r="O41" i="73"/>
  <c r="AK40" i="73"/>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T16" i="73" s="1"/>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AE17" i="73" s="1"/>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AP41"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AE54" i="73" s="1"/>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AP40"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T49" i="73" l="1"/>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BE22" i="62" l="1"/>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X95" i="73"/>
  <c r="V29" i="73"/>
  <c r="J47" i="73"/>
  <c r="M89" i="73"/>
  <c r="J8" i="73"/>
  <c r="K23" i="73"/>
  <c r="K48" i="73"/>
  <c r="J88" i="73"/>
  <c r="M78" i="73"/>
  <c r="J49" i="73"/>
  <c r="J81" i="73"/>
  <c r="M9" i="73"/>
  <c r="M87" i="73"/>
  <c r="K46" i="73"/>
  <c r="L79" i="73"/>
  <c r="K80" i="73"/>
  <c r="M48" i="73"/>
  <c r="J86" i="73"/>
  <c r="K7" i="73"/>
  <c r="K81" i="73"/>
  <c r="AT61" i="73"/>
  <c r="U97" i="73"/>
  <c r="AQ21" i="73" a="1"/>
  <c r="AR21" i="73" s="1"/>
  <c r="V21" i="73"/>
  <c r="U37" i="73" a="1"/>
  <c r="X37" i="73" s="1"/>
  <c r="AQ94" i="73" a="1"/>
  <c r="AQ95" i="73" s="1"/>
  <c r="U96" i="73"/>
  <c r="V96" i="73"/>
  <c r="W29" i="73"/>
  <c r="AR45" i="73"/>
  <c r="V53" i="73"/>
  <c r="J7" i="73"/>
  <c r="J79" i="73"/>
  <c r="AR61" i="73"/>
  <c r="L6" i="73"/>
  <c r="T41" i="73"/>
  <c r="M6" i="73"/>
  <c r="X21" i="73"/>
  <c r="W96" i="73"/>
  <c r="X96" i="73"/>
  <c r="AQ85" i="73" a="1"/>
  <c r="AR85" i="73" s="1"/>
  <c r="AQ29" i="73" a="1"/>
  <c r="AS29" i="73" s="1"/>
  <c r="AS45" i="73"/>
  <c r="J6" i="73"/>
  <c r="L32" i="73"/>
  <c r="J41" i="73"/>
  <c r="K9" i="73"/>
  <c r="L9" i="73"/>
  <c r="J46" i="73"/>
  <c r="L81" i="73"/>
  <c r="L8" i="73"/>
  <c r="M30" i="73"/>
  <c r="V97"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c r="U94" i="73" a="1"/>
  <c r="U95" i="73" s="1"/>
  <c r="V94" i="73"/>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X63" i="73" l="1"/>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MG93" i="47" s="1"/>
  <c r="FK93" i="47"/>
  <c r="FT93" i="47" s="1"/>
  <c r="X93" i="47"/>
  <c r="AK93" i="47"/>
  <c r="LK93" i="47"/>
  <c r="GX93" i="47"/>
  <c r="KK93" i="47"/>
  <c r="KT93" i="47" s="1"/>
  <c r="GK93" i="47"/>
  <c r="IK93" i="47"/>
  <c r="IT93" i="47" s="1"/>
  <c r="BK93" i="47"/>
  <c r="BT93" i="47" s="1"/>
  <c r="IX93" i="47"/>
  <c r="JG93" i="47" s="1"/>
  <c r="JK93" i="47"/>
  <c r="JX93" i="47"/>
  <c r="CX93" i="47"/>
  <c r="KX93" i="47"/>
  <c r="EX93" i="47"/>
  <c r="DX93" i="47"/>
  <c r="FX93" i="47"/>
  <c r="CK93" i="47"/>
  <c r="CT93" i="47" s="1"/>
  <c r="EK93" i="47"/>
  <c r="DK93" i="47"/>
  <c r="K93" i="47"/>
  <c r="BX93" i="47"/>
  <c r="AT87" i="73" l="1"/>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<sst xmlns="http://schemas.openxmlformats.org/spreadsheetml/2006/main" count="7736" uniqueCount="1901">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</sst>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30" fillId="0" borderId="0" xfId="0" applyFont="1" applyAlignment="1">
      <alignment horizontal="center" vertic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77" fillId="0" borderId="0" xfId="0" applyFont="1" applyAlignment="1">
      <alignment horizontal="center"/>
    </xf>
    <xf numFmtId="0" fontId="40" fillId="0" borderId="0" xfId="0" applyFont="1" applyAlignment="1">
      <alignment horizontal="center" vertical="center"/>
    </xf>
    <xf numFmtId="0" fontId="29" fillId="0" borderId="14" xfId="0" applyFont="1" applyBorder="1" applyAlignment="1">
      <alignment horizontal="center" vertical="center"/>
    </xf>
    <xf numFmtId="0" fontId="94" fillId="0" borderId="0" xfId="0" applyFont="1" applyAlignment="1">
      <alignment horizontal="center" vertical="center" wrapText="1"/>
    </xf>
    <xf numFmtId="0" fontId="0" fillId="12" borderId="3" xfId="0" applyFill="1" applyBorder="1" applyAlignment="1">
      <alignment horizontal="center"/>
    </xf>
    <xf numFmtId="0" fontId="0" fillId="12" borderId="4" xfId="0"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9" fillId="17" borderId="13"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54" fillId="11" borderId="3" xfId="0" applyFont="1" applyFill="1" applyBorder="1" applyAlignment="1">
      <alignment horizontal="center" vertical="center"/>
    </xf>
    <xf numFmtId="0" fontId="54" fillId="11" borderId="101" xfId="0" applyFont="1" applyFill="1" applyBorder="1" applyAlignment="1">
      <alignment horizontal="center" vertical="center"/>
    </xf>
    <xf numFmtId="0" fontId="54" fillId="11" borderId="4" xfId="0" applyFont="1" applyFill="1" applyBorder="1" applyAlignment="1">
      <alignment horizontal="center" vertical="center"/>
    </xf>
    <xf numFmtId="0" fontId="30" fillId="0" borderId="0" xfId="0" applyFont="1" applyAlignment="1">
      <alignment horizontal="center"/>
    </xf>
    <xf numFmtId="0" fontId="9" fillId="18" borderId="13" xfId="0" applyFont="1" applyFill="1" applyBorder="1" applyAlignment="1">
      <alignment horizontal="center" vertical="center"/>
    </xf>
    <xf numFmtId="166" fontId="7" fillId="11" borderId="0" xfId="0" applyNumberFormat="1" applyFont="1" applyFill="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66" fillId="2" borderId="0" xfId="0" applyFont="1" applyFill="1" applyAlignment="1">
      <alignment horizontal="center" vertic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36" fillId="17" borderId="13" xfId="0" applyFont="1" applyFill="1"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62" fillId="0" borderId="0" xfId="0" applyFont="1" applyAlignment="1">
      <alignment horizontal="center" vertical="center"/>
    </xf>
    <xf numFmtId="0" fontId="60" fillId="0" borderId="109" xfId="0" applyFont="1" applyBorder="1" applyAlignment="1">
      <alignment horizontal="center" vertical="center"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Alignment="1">
      <alignment horizontal="center" vertical="center"/>
    </xf>
    <xf numFmtId="0" fontId="46" fillId="0" borderId="0" xfId="0" applyFont="1" applyAlignment="1">
      <alignment horizont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L19" sqref="L19"/>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799"/>
      <c r="D1" s="799"/>
      <c r="E1" s="796" t="str">
        <f>Language!$E$121</f>
        <v>World Cup 2026 in Canada/Mexico/USA</v>
      </c>
      <c r="F1" s="796"/>
      <c r="G1" s="796"/>
      <c r="H1" s="796"/>
      <c r="I1" s="796"/>
      <c r="J1" s="796"/>
      <c r="K1" s="796"/>
      <c r="L1" s="796"/>
      <c r="M1" s="796"/>
      <c r="N1" s="796"/>
      <c r="O1" s="796"/>
      <c r="P1" s="796"/>
      <c r="Q1" s="796"/>
      <c r="R1" s="796"/>
      <c r="S1" s="796"/>
      <c r="T1" s="796"/>
      <c r="U1" s="796"/>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Canada</v>
      </c>
      <c r="F3" s="337" t="str">
        <f>"   "&amp;CalcB!$E22&amp;"        "&amp;CalcB!$F22&amp;Language!$E$197&amp;CalcB!$G22</f>
        <v xml:space="preserve">   1        1 - 1</v>
      </c>
      <c r="G3" s="68"/>
      <c r="H3" s="336" t="str">
        <f>CalcC!$D22</f>
        <v>Brazil</v>
      </c>
      <c r="I3" s="337" t="str">
        <f>"   "&amp;CalcC!$E22&amp;"        "&amp;CalcC!$F22&amp;Language!$E$197&amp;CalcC!$G22</f>
        <v xml:space="preserve">   0        0 - 0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0        0 - 0</v>
      </c>
      <c r="P3" s="68"/>
      <c r="Q3" s="336" t="str">
        <f>CalcF!$D22</f>
        <v>Netherlands</v>
      </c>
      <c r="R3" s="337" t="str">
        <f>"   "&amp;CalcF!$E22&amp;"        "&amp;CalcF!$F22&amp;Language!$E$197&amp;CalcF!$G22</f>
        <v xml:space="preserve">   0        0 - 0</v>
      </c>
      <c r="S3" s="4"/>
      <c r="T3" s="336" t="str">
        <f>CalcG!$D22</f>
        <v>Belgium</v>
      </c>
      <c r="U3" s="337" t="str">
        <f>"   "&amp;CalcG!$E22&amp;"        "&amp;CalcG!$F22&amp;Language!$E$197&amp;CalcG!$G22</f>
        <v xml:space="preserve">   0        0 - 0</v>
      </c>
      <c r="V3" s="68"/>
      <c r="W3" s="336" t="str">
        <f>CalcH!$D22</f>
        <v>Spain</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Bosnia/Herzeg.</v>
      </c>
      <c r="F4" s="339" t="str">
        <f>"   "&amp;CalcB!$E23&amp;"        "&amp;CalcB!$F23&amp;Language!$E$197&amp;CalcB!$G23</f>
        <v xml:space="preserve">   1        1 - 1</v>
      </c>
      <c r="G4" s="68"/>
      <c r="H4" s="338" t="str">
        <f>CalcC!$D23</f>
        <v>Morocco</v>
      </c>
      <c r="I4" s="339" t="str">
        <f>"   "&amp;CalcC!$E23&amp;"        "&amp;CalcC!$F23&amp;Language!$E$197&amp;CalcC!$G23</f>
        <v xml:space="preserve">   0        0 - 0</v>
      </c>
      <c r="J4" s="4"/>
      <c r="K4" s="338" t="str">
        <f>CalcD!$D23</f>
        <v>Turkey</v>
      </c>
      <c r="L4" s="339" t="str">
        <f>"   "&amp;CalcD!$E23&amp;"        "&amp;CalcD!$F23&amp;Language!$E$197&amp;CalcD!$G23</f>
        <v xml:space="preserve">   0        0 - 0</v>
      </c>
      <c r="M4" s="4"/>
      <c r="N4" s="338" t="str">
        <f>CalcE!$D23</f>
        <v>Curaçao</v>
      </c>
      <c r="O4" s="339" t="str">
        <f>"   "&amp;CalcE!$E23&amp;"        "&amp;CalcE!$F23&amp;Language!$E$197&amp;CalcE!$G23</f>
        <v xml:space="preserve">   0        0 - 0</v>
      </c>
      <c r="P4" s="68"/>
      <c r="Q4" s="338" t="str">
        <f>CalcF!$D23</f>
        <v>Japan</v>
      </c>
      <c r="R4" s="339" t="str">
        <f>"   "&amp;CalcF!$E23&amp;"        "&amp;CalcF!$F23&amp;Language!$E$197&amp;CalcF!$G23</f>
        <v xml:space="preserve">   0        0 - 0</v>
      </c>
      <c r="S4" s="4"/>
      <c r="T4" s="338" t="str">
        <f>CalcG!$D23</f>
        <v>Egypt</v>
      </c>
      <c r="U4" s="339" t="str">
        <f>"   "&amp;CalcG!$E23&amp;"        "&amp;CalcG!$F23&amp;Language!$E$197&amp;CalcG!$G23</f>
        <v xml:space="preserve">   0        0 - 0</v>
      </c>
      <c r="V4" s="68"/>
      <c r="W4" s="338" t="str">
        <f>CalcH!$D23</f>
        <v>Cape Verde</v>
      </c>
      <c r="X4" s="339" t="str">
        <f>"   "&amp;CalcH!$E23&amp;"        "&amp;CalcH!$F23&amp;Language!$E$197&amp;CalcH!$G23</f>
        <v xml:space="preserve">   0        0 - 0</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Switzerland</v>
      </c>
      <c r="F5" s="373" t="str">
        <f>"   "&amp;CalcB!$E24&amp;"        "&amp;CalcB!$F24&amp;Language!$E$197&amp;CalcB!$G24</f>
        <v xml:space="preserve">   0        0 - 0</v>
      </c>
      <c r="G5" s="68"/>
      <c r="H5" s="372" t="str">
        <f>CalcC!$D24</f>
        <v>Haiti</v>
      </c>
      <c r="I5" s="373" t="str">
        <f>"   "&amp;CalcC!$E24&amp;"        "&amp;CalcC!$F24&amp;Language!$E$197&amp;CalcC!$G24</f>
        <v xml:space="preserve">   0        0 - 0</v>
      </c>
      <c r="J5" s="4"/>
      <c r="K5" s="372" t="str">
        <f>CalcD!$D24</f>
        <v>Australia</v>
      </c>
      <c r="L5" s="373" t="str">
        <f>"   "&amp;CalcD!$E24&amp;"        "&amp;CalcD!$F24&amp;Language!$E$197&amp;CalcD!$G24</f>
        <v xml:space="preserve">   0        0 - 0</v>
      </c>
      <c r="M5" s="4"/>
      <c r="N5" s="372" t="str">
        <f>CalcE!$D24</f>
        <v>Ivory Coast</v>
      </c>
      <c r="O5" s="373" t="str">
        <f>"   "&amp;CalcE!$E24&amp;"        "&amp;CalcE!$F24&amp;Language!$E$197&amp;CalcE!$G24</f>
        <v xml:space="preserve">   0        0 - 0</v>
      </c>
      <c r="P5" s="68"/>
      <c r="Q5" s="372" t="str">
        <f>CalcF!$D24</f>
        <v>Sweden</v>
      </c>
      <c r="R5" s="373" t="str">
        <f>"   "&amp;CalcF!$E24&amp;"        "&amp;CalcF!$F24&amp;Language!$E$197&amp;CalcF!$G24</f>
        <v xml:space="preserve">   0        0 - 0</v>
      </c>
      <c r="S5" s="4"/>
      <c r="T5" s="372" t="str">
        <f>CalcG!$D24</f>
        <v>IR Iran</v>
      </c>
      <c r="U5" s="373" t="str">
        <f>"   "&amp;CalcG!$E24&amp;"        "&amp;CalcG!$F24&amp;Language!$E$197&amp;CalcG!$G24</f>
        <v xml:space="preserve">   0        0 - 0</v>
      </c>
      <c r="V5" s="68"/>
      <c r="W5" s="372" t="str">
        <f>CalcH!$D24</f>
        <v>Saudi Arabia</v>
      </c>
      <c r="X5" s="373" t="str">
        <f>"   "&amp;CalcH!$E24&amp;"        "&amp;CalcH!$F24&amp;Language!$E$197&amp;CalcH!$G24</f>
        <v xml:space="preserve">   0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Qatar</v>
      </c>
      <c r="F6" s="325" t="str">
        <f>"   "&amp;CalcB!$E25&amp;"        "&amp;CalcB!$F25&amp;Language!$E$197&amp;CalcB!$G25</f>
        <v xml:space="preserve">   0        0 - 0</v>
      </c>
      <c r="G6" s="68"/>
      <c r="H6" s="75" t="str">
        <f>CalcC!$D25</f>
        <v>Scotland</v>
      </c>
      <c r="I6" s="325" t="str">
        <f>"   "&amp;CalcC!$E25&amp;"        "&amp;CalcC!$F25&amp;Language!$E$197&amp;CalcC!$G25</f>
        <v xml:space="preserve">   0        0 - 0</v>
      </c>
      <c r="J6" s="4"/>
      <c r="K6" s="75" t="str">
        <f>CalcD!$D25</f>
        <v>Paraguay</v>
      </c>
      <c r="L6" s="325" t="str">
        <f>"   "&amp;CalcD!$E25&amp;"        "&amp;CalcD!$F25&amp;Language!$E$197&amp;CalcD!$G25</f>
        <v xml:space="preserve">   0        1 - 4</v>
      </c>
      <c r="M6" s="4"/>
      <c r="N6" s="75" t="str">
        <f>CalcE!$D25</f>
        <v>Ecuador</v>
      </c>
      <c r="O6" s="325" t="str">
        <f>"   "&amp;CalcE!$E25&amp;"        "&amp;CalcE!$F25&amp;Language!$E$197&amp;CalcE!$G25</f>
        <v xml:space="preserve">   0        0 - 0</v>
      </c>
      <c r="P6" s="68"/>
      <c r="Q6" s="75" t="str">
        <f>CalcF!$D25</f>
        <v>Tunisia</v>
      </c>
      <c r="R6" s="325" t="str">
        <f>"   "&amp;CalcF!$E25&amp;"        "&amp;CalcF!$F25&amp;Language!$E$197&amp;CalcF!$G25</f>
        <v xml:space="preserve">   0        0 - 0</v>
      </c>
      <c r="S6" s="4"/>
      <c r="T6" s="75" t="str">
        <f>CalcG!$D25</f>
        <v>New Zealand</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797" t="str">
        <f>IF(Distinctness!$G$17=0,"",IF(Distinctness!$D$4&gt;0,Distinctness!$J$4,Distinctness!$J$5))</f>
        <v>Groups with fair play valuation:  B.</v>
      </c>
      <c r="C7" s="797"/>
      <c r="D7" s="797"/>
      <c r="E7" s="797"/>
      <c r="F7" s="797"/>
      <c r="G7" s="797"/>
      <c r="H7" s="797"/>
      <c r="I7" s="797"/>
      <c r="J7" s="797"/>
      <c r="K7" s="797"/>
      <c r="L7" s="797"/>
      <c r="M7" s="797"/>
      <c r="N7" s="797"/>
      <c r="O7" s="797"/>
      <c r="P7" s="797"/>
      <c r="Q7" s="797"/>
      <c r="R7" s="797"/>
      <c r="S7" s="797"/>
      <c r="T7" s="797"/>
      <c r="U7" s="797"/>
      <c r="V7" s="797"/>
      <c r="W7" s="797"/>
      <c r="X7" s="797"/>
      <c r="Y7" s="4"/>
      <c r="Z7" s="797" t="str">
        <f>B7</f>
        <v>Groups with fair play valuation:  B.</v>
      </c>
      <c r="AA7" s="797"/>
      <c r="AB7" s="797"/>
      <c r="AC7" s="797"/>
      <c r="AD7" s="797"/>
      <c r="AE7" s="797"/>
      <c r="AF7" s="797"/>
      <c r="AG7" s="797"/>
      <c r="AH7" s="797"/>
      <c r="AI7" s="797"/>
      <c r="AJ7" s="797"/>
      <c r="AK7" s="366"/>
      <c r="AL7" s="366"/>
      <c r="AM7" s="366"/>
      <c r="AN7" s="366"/>
      <c r="AO7" s="366"/>
      <c r="AP7" s="366"/>
      <c r="AQ7" s="366"/>
      <c r="AR7" s="366"/>
      <c r="AS7" s="366"/>
      <c r="AT7" s="366"/>
      <c r="AU7" s="366"/>
      <c r="AV7" s="366"/>
      <c r="AZ7" t="str">
        <f>DailySchedule!$N7</f>
        <v>England</v>
      </c>
    </row>
    <row r="8" spans="1:52" ht="11.25" customHeight="1" x14ac:dyDescent="0.3">
      <c r="B8" s="798" t="str">
        <f>IF(CalcA!$AU$14,"•","")</f>
        <v/>
      </c>
      <c r="C8" s="798"/>
      <c r="D8" s="82"/>
      <c r="E8" s="798" t="str">
        <f>IF(CalcB!$AU$14,"•","")</f>
        <v>•</v>
      </c>
      <c r="F8" s="798"/>
      <c r="G8" s="82"/>
      <c r="H8" s="798" t="str">
        <f>IF(CalcC!$AU$14,"•","")</f>
        <v/>
      </c>
      <c r="I8" s="798"/>
      <c r="J8" s="82"/>
      <c r="K8" s="798" t="str">
        <f>IF(CalcD!$AU$14,"•","")</f>
        <v/>
      </c>
      <c r="L8" s="798"/>
      <c r="M8" s="18"/>
      <c r="N8" s="798" t="str">
        <f>IF(CalcE!$AU$14,"•","")</f>
        <v/>
      </c>
      <c r="O8" s="798"/>
      <c r="P8" s="82"/>
      <c r="Q8" s="798" t="str">
        <f>IF(CalcF!$AU$14,"•","")</f>
        <v/>
      </c>
      <c r="R8" s="798"/>
      <c r="S8" s="83"/>
      <c r="T8" s="798" t="str">
        <f>IF(CalcG!$AU$14,"•","")</f>
        <v/>
      </c>
      <c r="U8" s="798"/>
      <c r="V8" s="82"/>
      <c r="W8" s="798" t="str">
        <f>IF(CalcH!$AU$14,"•","")</f>
        <v/>
      </c>
      <c r="X8" s="798"/>
      <c r="Z8" s="798" t="str">
        <f>IF(CalcI!$AU$14,"•","")</f>
        <v/>
      </c>
      <c r="AA8" s="798"/>
      <c r="AB8" s="82"/>
      <c r="AC8" s="798" t="str">
        <f>IF(CalcJ!$AU$14,"•","")</f>
        <v/>
      </c>
      <c r="AD8" s="798"/>
      <c r="AE8" s="82"/>
      <c r="AF8" s="798" t="str">
        <f>IF(CalcK!$AU$14,"•","")</f>
        <v/>
      </c>
      <c r="AG8" s="798"/>
      <c r="AH8" s="82"/>
      <c r="AI8" s="798" t="str">
        <f>IF(CalcL!$AU$14,"•","")</f>
        <v/>
      </c>
      <c r="AJ8" s="798"/>
      <c r="AK8" s="18"/>
      <c r="AL8" s="370"/>
      <c r="AM8" s="370"/>
      <c r="AN8" s="82"/>
      <c r="AO8" s="370"/>
      <c r="AP8" s="370"/>
      <c r="AQ8" s="83"/>
      <c r="AR8" s="370"/>
      <c r="AS8" s="370"/>
      <c r="AT8" s="82"/>
      <c r="AU8" s="370"/>
      <c r="AV8" s="370"/>
      <c r="AZ8" t="str">
        <f>DailySchedule!$N8</f>
        <v>USA</v>
      </c>
    </row>
    <row r="9" spans="1:52" ht="18" x14ac:dyDescent="0.35">
      <c r="B9" s="802" t="str">
        <f>Language!$E$130&amp;" A"</f>
        <v>Group A</v>
      </c>
      <c r="C9" s="803"/>
      <c r="D9" s="5"/>
      <c r="E9" s="802" t="str">
        <f>Language!$E$130&amp;" B"</f>
        <v>Group B</v>
      </c>
      <c r="F9" s="803"/>
      <c r="H9" s="802" t="str">
        <f>Language!$E$130&amp;" C"</f>
        <v>Group C</v>
      </c>
      <c r="I9" s="803"/>
      <c r="K9" s="802" t="str">
        <f>Language!$E$130&amp;" D"</f>
        <v>Group D</v>
      </c>
      <c r="L9" s="803"/>
      <c r="N9" s="802" t="str">
        <f>Language!$E$130&amp;" E"</f>
        <v>Group E</v>
      </c>
      <c r="O9" s="803"/>
      <c r="Q9" s="802" t="str">
        <f>Language!$E$130&amp;" F"</f>
        <v>Group F</v>
      </c>
      <c r="R9" s="803"/>
      <c r="T9" s="802" t="str">
        <f>Language!$E$130&amp;" G"</f>
        <v>Group G</v>
      </c>
      <c r="U9" s="803"/>
      <c r="W9" s="802" t="str">
        <f>Language!$E$130&amp;" H"</f>
        <v>Group H</v>
      </c>
      <c r="X9" s="803"/>
      <c r="Z9" s="802" t="str">
        <f>Language!$E$130&amp;" I"</f>
        <v>Group I</v>
      </c>
      <c r="AA9" s="803"/>
      <c r="AB9" s="5"/>
      <c r="AC9" s="802" t="str">
        <f>Language!$E$130&amp;" J"</f>
        <v>Group J</v>
      </c>
      <c r="AD9" s="803"/>
      <c r="AF9" s="802" t="str">
        <f>Language!$E$130&amp;" K"</f>
        <v>Group K</v>
      </c>
      <c r="AG9" s="803"/>
      <c r="AI9" s="802" t="str">
        <f>Language!$E$130&amp;" L"</f>
        <v>Group L</v>
      </c>
      <c r="AJ9" s="829"/>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0" t="str">
        <f>VLOOKUP(A11,Matches!$B$4:$K$113,7,0)</f>
        <v>Mexico City</v>
      </c>
      <c r="C11" s="801"/>
      <c r="D11" s="73">
        <v>3</v>
      </c>
      <c r="E11" s="800" t="str">
        <f>VLOOKUP(D11,Matches!$B$4:$K$113,7,0)</f>
        <v>Toronto</v>
      </c>
      <c r="F11" s="801"/>
      <c r="G11" s="73">
        <v>7</v>
      </c>
      <c r="H11" s="800" t="str">
        <f>VLOOKUP(G11,Matches!$B$4:$K$113,7,0)</f>
        <v>New York/New Jersey</v>
      </c>
      <c r="I11" s="801"/>
      <c r="J11" s="73">
        <v>4</v>
      </c>
      <c r="K11" s="800" t="str">
        <f>VLOOKUP(J11,Matches!$B$4:$K$113,7,0)</f>
        <v>Los Angeles</v>
      </c>
      <c r="L11" s="801"/>
      <c r="M11" s="73">
        <v>10</v>
      </c>
      <c r="N11" s="800" t="str">
        <f>VLOOKUP(M11,Matches!$B$4:$K$113,7,0)</f>
        <v>Houston</v>
      </c>
      <c r="O11" s="801"/>
      <c r="P11" s="73">
        <v>11</v>
      </c>
      <c r="Q11" s="800" t="str">
        <f>VLOOKUP(P11,Matches!$B$4:$K$113,7,0)</f>
        <v>Dallas</v>
      </c>
      <c r="R11" s="801"/>
      <c r="S11" s="73">
        <v>16</v>
      </c>
      <c r="T11" s="800" t="str">
        <f>VLOOKUP(S11,Matches!$B$4:$K$113,7,0)</f>
        <v>Seattle</v>
      </c>
      <c r="U11" s="801"/>
      <c r="V11" s="73">
        <v>14</v>
      </c>
      <c r="W11" s="800" t="str">
        <f>VLOOKUP(V11,Matches!$B$4:$K$113,7,0)</f>
        <v>Atlanta</v>
      </c>
      <c r="X11" s="801"/>
      <c r="Y11" s="73">
        <v>17</v>
      </c>
      <c r="Z11" s="800" t="str">
        <f>VLOOKUP(Y11,Matches!$B$4:$K$113,7,0)</f>
        <v>New York/New Jersey</v>
      </c>
      <c r="AA11" s="801"/>
      <c r="AB11" s="73">
        <v>19</v>
      </c>
      <c r="AC11" s="800" t="str">
        <f>VLOOKUP(AB11,Matches!$B$4:$K$113,7,0)</f>
        <v>Kansas City</v>
      </c>
      <c r="AD11" s="801"/>
      <c r="AE11" s="73">
        <v>23</v>
      </c>
      <c r="AF11" s="800" t="str">
        <f>VLOOKUP(AE11,Matches!$B$4:$K$113,7,0)</f>
        <v>Houston</v>
      </c>
      <c r="AG11" s="801"/>
      <c r="AH11" s="73">
        <v>22</v>
      </c>
      <c r="AI11" s="800" t="str">
        <f>VLOOKUP(AH11,Matches!$B$4:$K$113,7,0)</f>
        <v>Dallas</v>
      </c>
      <c r="AJ11" s="801"/>
      <c r="AK11" s="73"/>
      <c r="AN11" s="73"/>
      <c r="AQ11" s="73"/>
      <c r="AT11" s="73"/>
    </row>
    <row r="12" spans="1:52" x14ac:dyDescent="0.3">
      <c r="B12" s="792">
        <f>VLOOKUP(A11,Matches!$B$4:$K$113,5,0)</f>
        <v>46184.875</v>
      </c>
      <c r="C12" s="793"/>
      <c r="E12" s="792">
        <f>VLOOKUP(D11,Matches!$B$4:$K$113,5,0)</f>
        <v>46185.875</v>
      </c>
      <c r="F12" s="793"/>
      <c r="H12" s="792">
        <f>VLOOKUP(G11,Matches!$B$4:$K$113,5,0)</f>
        <v>46187</v>
      </c>
      <c r="I12" s="793"/>
      <c r="K12" s="792">
        <f>VLOOKUP(J11,Matches!$B$4:$K$113,5,0)</f>
        <v>46186.125</v>
      </c>
      <c r="L12" s="793"/>
      <c r="N12" s="792">
        <f>VLOOKUP(M11,Matches!$B$4:$K$113,5,0)</f>
        <v>46187.791666666664</v>
      </c>
      <c r="O12" s="793"/>
      <c r="Q12" s="792">
        <f>VLOOKUP(P11,Matches!$B$4:$K$113,5,0)</f>
        <v>46187.916666666664</v>
      </c>
      <c r="R12" s="793"/>
      <c r="T12" s="792">
        <f>VLOOKUP(S11,Matches!$B$4:$K$113,5,0)</f>
        <v>46188.875</v>
      </c>
      <c r="U12" s="793"/>
      <c r="W12" s="792">
        <f>VLOOKUP(V11,Matches!$B$4:$K$113,5,0)</f>
        <v>46188.75</v>
      </c>
      <c r="X12" s="793"/>
      <c r="Z12" s="792">
        <f>VLOOKUP(Y11,Matches!$B$4:$K$113,5,0)</f>
        <v>46189.875</v>
      </c>
      <c r="AA12" s="793"/>
      <c r="AC12" s="792">
        <f>VLOOKUP(AB11,Matches!$B$4:$K$113,5,0)</f>
        <v>46190.125</v>
      </c>
      <c r="AD12" s="793"/>
      <c r="AF12" s="792">
        <f>VLOOKUP(AE11,Matches!$B$4:$K$113,5,0)</f>
        <v>46190.791666666664</v>
      </c>
      <c r="AG12" s="793"/>
      <c r="AI12" s="792">
        <f>VLOOKUP(AH11,Matches!$B$4:$K$113,5,0)</f>
        <v>46190.916666666664</v>
      </c>
      <c r="AJ12" s="793"/>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c r="I14" s="2"/>
      <c r="K14" s="1">
        <v>4</v>
      </c>
      <c r="L14" s="2">
        <v>1</v>
      </c>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0" t="str">
        <f>VLOOKUP(A16,Matches!$B$4:$K$113,7,0)</f>
        <v>Guadalajara</v>
      </c>
      <c r="C16" s="801"/>
      <c r="D16" s="73">
        <v>8</v>
      </c>
      <c r="E16" s="800" t="str">
        <f>VLOOKUP(D16,Matches!$B$4:$K$113,7,0)</f>
        <v>San Francisco Bay Area</v>
      </c>
      <c r="F16" s="801"/>
      <c r="G16" s="73">
        <v>5</v>
      </c>
      <c r="H16" s="800" t="str">
        <f>VLOOKUP(G16,Matches!$B$4:$K$113,7,0)</f>
        <v>Boston</v>
      </c>
      <c r="I16" s="801"/>
      <c r="J16" s="73">
        <v>6</v>
      </c>
      <c r="K16" s="800" t="str">
        <f>VLOOKUP(J16,Matches!$B$4:$K$113,7,0)</f>
        <v>Vancouver</v>
      </c>
      <c r="L16" s="801"/>
      <c r="M16" s="73">
        <v>9</v>
      </c>
      <c r="N16" s="800" t="str">
        <f>VLOOKUP(M16,Matches!$B$4:$K$113,7,0)</f>
        <v>Philadelphia</v>
      </c>
      <c r="O16" s="801"/>
      <c r="P16" s="73">
        <v>12</v>
      </c>
      <c r="Q16" s="800" t="str">
        <f>VLOOKUP(P16,Matches!$B$4:$K$113,7,0)</f>
        <v>Monterrey</v>
      </c>
      <c r="R16" s="801"/>
      <c r="S16" s="73">
        <v>15</v>
      </c>
      <c r="T16" s="800" t="str">
        <f>VLOOKUP(S16,Matches!$B$4:$K$113,7,0)</f>
        <v>Los Angeles</v>
      </c>
      <c r="U16" s="801"/>
      <c r="V16" s="73">
        <v>13</v>
      </c>
      <c r="W16" s="800" t="str">
        <f>VLOOKUP(V16,Matches!$B$4:$K$113,7,0)</f>
        <v>Miami</v>
      </c>
      <c r="X16" s="801"/>
      <c r="Y16" s="73">
        <v>18</v>
      </c>
      <c r="Z16" s="800" t="str">
        <f>VLOOKUP(Y16,Matches!$B$4:$K$113,7,0)</f>
        <v>Boston</v>
      </c>
      <c r="AA16" s="801"/>
      <c r="AB16" s="73">
        <v>20</v>
      </c>
      <c r="AC16" s="800" t="str">
        <f>VLOOKUP(AB16,Matches!$B$4:$K$113,7,0)</f>
        <v>San Francisco Bay Area</v>
      </c>
      <c r="AD16" s="801"/>
      <c r="AE16" s="73">
        <v>24</v>
      </c>
      <c r="AF16" s="800" t="str">
        <f>VLOOKUP(AE16,Matches!$B$4:$K$113,7,0)</f>
        <v>Mexico City</v>
      </c>
      <c r="AG16" s="801"/>
      <c r="AH16" s="73">
        <v>21</v>
      </c>
      <c r="AI16" s="800" t="str">
        <f>VLOOKUP(AH16,Matches!$B$4:$K$113,7,0)</f>
        <v>Toronto</v>
      </c>
      <c r="AJ16" s="801"/>
      <c r="AK16" s="73"/>
      <c r="AN16" s="73"/>
      <c r="AQ16" s="73"/>
      <c r="AT16" s="73"/>
    </row>
    <row r="17" spans="1:48" x14ac:dyDescent="0.3">
      <c r="B17" s="792">
        <f>VLOOKUP(A16,Matches!$B$4:$K$113,5,0)</f>
        <v>46185.166666666664</v>
      </c>
      <c r="C17" s="793"/>
      <c r="E17" s="792">
        <f>VLOOKUP(D16,Matches!$B$4:$K$113,5,0)</f>
        <v>46186.875</v>
      </c>
      <c r="F17" s="793"/>
      <c r="H17" s="792">
        <f>VLOOKUP(G16,Matches!$B$4:$K$113,5,0)</f>
        <v>46187.125</v>
      </c>
      <c r="I17" s="793"/>
      <c r="K17" s="792">
        <f>VLOOKUP(J16,Matches!$B$4:$K$113,5,0)</f>
        <v>46187.25</v>
      </c>
      <c r="L17" s="793"/>
      <c r="N17" s="792">
        <f>VLOOKUP(M16,Matches!$B$4:$K$113,5,0)</f>
        <v>46188.041666666664</v>
      </c>
      <c r="O17" s="793"/>
      <c r="Q17" s="792">
        <f>VLOOKUP(P16,Matches!$B$4:$K$113,5,0)</f>
        <v>46188.166666666664</v>
      </c>
      <c r="R17" s="793"/>
      <c r="T17" s="792">
        <f>VLOOKUP(S16,Matches!$B$4:$K$113,5,0)</f>
        <v>46189.125</v>
      </c>
      <c r="U17" s="793"/>
      <c r="W17" s="792">
        <f>VLOOKUP(V16,Matches!$B$4:$K$113,5,0)</f>
        <v>46189</v>
      </c>
      <c r="X17" s="793"/>
      <c r="Z17" s="792">
        <f>VLOOKUP(Y16,Matches!$B$4:$K$113,5,0)</f>
        <v>46190</v>
      </c>
      <c r="AA17" s="793"/>
      <c r="AC17" s="792">
        <f>VLOOKUP(AB16,Matches!$B$4:$K$113,5,0)</f>
        <v>46190.25</v>
      </c>
      <c r="AD17" s="793"/>
      <c r="AF17" s="792">
        <f>VLOOKUP(AE16,Matches!$B$4:$K$113,5,0)</f>
        <v>46191.166666666664</v>
      </c>
      <c r="AG17" s="793"/>
      <c r="AI17" s="792">
        <f>VLOOKUP(AH16,Matches!$B$4:$K$113,5,0)</f>
        <v>46191.041666666664</v>
      </c>
      <c r="AJ17" s="793"/>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0" t="str">
        <f>VLOOKUP(A21,Matches!$B$4:$K$113,7,0)</f>
        <v>Atlanta</v>
      </c>
      <c r="C21" s="801"/>
      <c r="D21" s="73">
        <v>26</v>
      </c>
      <c r="E21" s="800" t="str">
        <f>VLOOKUP(D21,Matches!$B$4:$K$113,7,0)</f>
        <v>Los Angeles</v>
      </c>
      <c r="F21" s="801"/>
      <c r="G21" s="73">
        <v>30</v>
      </c>
      <c r="H21" s="800" t="str">
        <f>VLOOKUP(G21,Matches!$B$4:$K$113,7,0)</f>
        <v>Boston</v>
      </c>
      <c r="I21" s="801"/>
      <c r="J21" s="73">
        <v>32</v>
      </c>
      <c r="K21" s="800" t="str">
        <f>VLOOKUP(J21,Matches!$B$4:$K$113,7,0)</f>
        <v>Seattle</v>
      </c>
      <c r="L21" s="801"/>
      <c r="M21" s="73">
        <v>33</v>
      </c>
      <c r="N21" s="800" t="str">
        <f>VLOOKUP(M21,Matches!$B$4:$K$113,7,0)</f>
        <v>Toronto</v>
      </c>
      <c r="O21" s="801"/>
      <c r="P21" s="73">
        <v>35</v>
      </c>
      <c r="Q21" s="800" t="str">
        <f>VLOOKUP(P21,Matches!$B$4:$K$113,7,0)</f>
        <v>Houston</v>
      </c>
      <c r="R21" s="801"/>
      <c r="S21" s="73">
        <v>39</v>
      </c>
      <c r="T21" s="800" t="str">
        <f>VLOOKUP(S21,Matches!$B$4:$K$113,7,0)</f>
        <v>Los Angeles</v>
      </c>
      <c r="U21" s="801"/>
      <c r="V21" s="73">
        <v>38</v>
      </c>
      <c r="W21" s="800" t="str">
        <f>VLOOKUP(V21,Matches!$B$4:$K$113,7,0)</f>
        <v>Atlanta</v>
      </c>
      <c r="X21" s="801"/>
      <c r="Y21" s="73">
        <v>42</v>
      </c>
      <c r="Z21" s="800" t="str">
        <f>VLOOKUP(Y21,Matches!$B$4:$K$113,7,0)</f>
        <v>Philadelphia</v>
      </c>
      <c r="AA21" s="801"/>
      <c r="AB21" s="73">
        <v>43</v>
      </c>
      <c r="AC21" s="800" t="str">
        <f>VLOOKUP(AB21,Matches!$B$4:$K$113,7,0)</f>
        <v>Dallas</v>
      </c>
      <c r="AD21" s="801"/>
      <c r="AE21" s="73">
        <v>47</v>
      </c>
      <c r="AF21" s="800" t="str">
        <f>VLOOKUP(AE21,Matches!$B$4:$K$113,7,0)</f>
        <v>Houston</v>
      </c>
      <c r="AG21" s="801"/>
      <c r="AH21" s="73">
        <v>45</v>
      </c>
      <c r="AI21" s="800" t="str">
        <f>VLOOKUP(AH21,Matches!$B$4:$K$113,7,0)</f>
        <v>Boston</v>
      </c>
      <c r="AJ21" s="801"/>
      <c r="AK21" s="73"/>
      <c r="AN21" s="73"/>
      <c r="AQ21" s="73"/>
      <c r="AT21" s="73"/>
    </row>
    <row r="22" spans="1:48" x14ac:dyDescent="0.3">
      <c r="B22" s="792">
        <f>VLOOKUP(A21,Matches!$B$4:$K$113,5,0)</f>
        <v>46191.75</v>
      </c>
      <c r="C22" s="793"/>
      <c r="E22" s="792">
        <f>VLOOKUP(D21,Matches!$B$4:$K$113,5,0)</f>
        <v>46191.875</v>
      </c>
      <c r="F22" s="793"/>
      <c r="H22" s="792">
        <f>VLOOKUP(G21,Matches!$B$4:$K$113,5,0)</f>
        <v>46193</v>
      </c>
      <c r="I22" s="793"/>
      <c r="K22" s="792">
        <f>VLOOKUP(J21,Matches!$B$4:$K$113,5,0)</f>
        <v>46192.875</v>
      </c>
      <c r="L22" s="793"/>
      <c r="N22" s="792">
        <f>VLOOKUP(M21,Matches!$B$4:$K$113,5,0)</f>
        <v>46193.916666666664</v>
      </c>
      <c r="O22" s="793"/>
      <c r="Q22" s="792">
        <f>VLOOKUP(P21,Matches!$B$4:$K$113,5,0)</f>
        <v>46193.791666666664</v>
      </c>
      <c r="R22" s="793"/>
      <c r="T22" s="792">
        <f>VLOOKUP(S21,Matches!$B$4:$K$113,5,0)</f>
        <v>46194.875</v>
      </c>
      <c r="U22" s="793"/>
      <c r="W22" s="792">
        <f>VLOOKUP(V21,Matches!$B$4:$K$113,5,0)</f>
        <v>46194.75</v>
      </c>
      <c r="X22" s="793"/>
      <c r="Z22" s="792">
        <f>VLOOKUP(Y21,Matches!$B$4:$K$113,5,0)</f>
        <v>46195.958333333336</v>
      </c>
      <c r="AA22" s="793"/>
      <c r="AC22" s="792">
        <f>VLOOKUP(AB21,Matches!$B$4:$K$113,5,0)</f>
        <v>46195.791666666664</v>
      </c>
      <c r="AD22" s="793"/>
      <c r="AF22" s="792">
        <f>VLOOKUP(AE21,Matches!$B$4:$K$113,5,0)</f>
        <v>46196.791666666664</v>
      </c>
      <c r="AG22" s="793"/>
      <c r="AI22" s="792">
        <f>VLOOKUP(AH21,Matches!$B$4:$K$113,5,0)</f>
        <v>46196.916666666664</v>
      </c>
      <c r="AJ22" s="793"/>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0" t="str">
        <f>VLOOKUP(A26,Matches!$B$4:$K$113,7,0)</f>
        <v>Guadalajara</v>
      </c>
      <c r="C26" s="801"/>
      <c r="D26" s="73">
        <v>27</v>
      </c>
      <c r="E26" s="800" t="str">
        <f>VLOOKUP(D26,Matches!$B$4:$K$113,7,0)</f>
        <v>Vancouver</v>
      </c>
      <c r="F26" s="801"/>
      <c r="G26" s="73">
        <v>29</v>
      </c>
      <c r="H26" s="800" t="str">
        <f>VLOOKUP(G26,Matches!$B$4:$K$113,7,0)</f>
        <v>Philadelphia</v>
      </c>
      <c r="I26" s="801"/>
      <c r="J26" s="73">
        <v>31</v>
      </c>
      <c r="K26" s="800" t="str">
        <f>VLOOKUP(J26,Matches!$B$4:$K$113,7,0)</f>
        <v>San Francisco Bay Area</v>
      </c>
      <c r="L26" s="801"/>
      <c r="M26" s="73">
        <v>34</v>
      </c>
      <c r="N26" s="800" t="str">
        <f>VLOOKUP(M26,Matches!$B$4:$K$113,7,0)</f>
        <v>Kansas City</v>
      </c>
      <c r="O26" s="801"/>
      <c r="P26" s="73">
        <v>36</v>
      </c>
      <c r="Q26" s="800" t="str">
        <f>VLOOKUP(P26,Matches!$B$4:$K$113,7,0)</f>
        <v>Monterrey</v>
      </c>
      <c r="R26" s="801"/>
      <c r="S26" s="73">
        <v>40</v>
      </c>
      <c r="T26" s="800" t="str">
        <f>VLOOKUP(S26,Matches!$B$4:$K$113,7,0)</f>
        <v>Vancouver</v>
      </c>
      <c r="U26" s="801"/>
      <c r="V26" s="73">
        <v>37</v>
      </c>
      <c r="W26" s="800" t="str">
        <f>VLOOKUP(V26,Matches!$B$4:$K$113,7,0)</f>
        <v>Miami</v>
      </c>
      <c r="X26" s="801"/>
      <c r="Y26" s="73">
        <v>41</v>
      </c>
      <c r="Z26" s="800" t="str">
        <f>VLOOKUP(Y26,Matches!$B$4:$K$113,7,0)</f>
        <v>New York/New Jersey</v>
      </c>
      <c r="AA26" s="801"/>
      <c r="AB26" s="73">
        <v>44</v>
      </c>
      <c r="AC26" s="800" t="str">
        <f>VLOOKUP(AB26,Matches!$B$4:$K$113,7,0)</f>
        <v>San Francisco Bay Area</v>
      </c>
      <c r="AD26" s="801"/>
      <c r="AE26" s="73">
        <v>48</v>
      </c>
      <c r="AF26" s="800" t="str">
        <f>VLOOKUP(AE26,Matches!$B$4:$K$113,7,0)</f>
        <v>Guadalajara</v>
      </c>
      <c r="AG26" s="801"/>
      <c r="AH26" s="73">
        <v>46</v>
      </c>
      <c r="AI26" s="800" t="str">
        <f>VLOOKUP(AH26,Matches!$B$4:$K$113,7,0)</f>
        <v>Toronto</v>
      </c>
      <c r="AJ26" s="801"/>
      <c r="AK26" s="73"/>
      <c r="AN26" s="73"/>
      <c r="AQ26" s="73"/>
      <c r="AT26" s="73"/>
    </row>
    <row r="27" spans="1:48" x14ac:dyDescent="0.3">
      <c r="B27" s="792">
        <f>VLOOKUP(A26,Matches!$B$4:$K$113,5,0)</f>
        <v>46192.125</v>
      </c>
      <c r="C27" s="793"/>
      <c r="E27" s="792">
        <f>VLOOKUP(D26,Matches!$B$4:$K$113,5,0)</f>
        <v>46192</v>
      </c>
      <c r="F27" s="793"/>
      <c r="H27" s="792">
        <f>VLOOKUP(G26,Matches!$B$4:$K$113,5,0)</f>
        <v>46193.104166666664</v>
      </c>
      <c r="I27" s="793"/>
      <c r="K27" s="792">
        <f>VLOOKUP(J26,Matches!$B$4:$K$113,5,0)</f>
        <v>46193.208333333336</v>
      </c>
      <c r="L27" s="793"/>
      <c r="N27" s="792">
        <f>VLOOKUP(M26,Matches!$B$4:$K$113,5,0)</f>
        <v>46194.083333333336</v>
      </c>
      <c r="O27" s="793"/>
      <c r="Q27" s="792">
        <f>VLOOKUP(P26,Matches!$B$4:$K$113,5,0)</f>
        <v>46194.25</v>
      </c>
      <c r="R27" s="793"/>
      <c r="T27" s="792">
        <f>VLOOKUP(S26,Matches!$B$4:$K$113,5,0)</f>
        <v>46195.125</v>
      </c>
      <c r="U27" s="793"/>
      <c r="W27" s="792">
        <f>VLOOKUP(V26,Matches!$B$4:$K$113,5,0)</f>
        <v>46195</v>
      </c>
      <c r="X27" s="793"/>
      <c r="Z27" s="792">
        <f>VLOOKUP(Y26,Matches!$B$4:$K$113,5,0)</f>
        <v>46196.083333333336</v>
      </c>
      <c r="AA27" s="793"/>
      <c r="AC27" s="792">
        <f>VLOOKUP(AB26,Matches!$B$4:$K$113,5,0)</f>
        <v>46196.208333333336</v>
      </c>
      <c r="AD27" s="793"/>
      <c r="AF27" s="792">
        <f>VLOOKUP(AE26,Matches!$B$4:$K$113,5,0)</f>
        <v>46197.166666666664</v>
      </c>
      <c r="AG27" s="793"/>
      <c r="AI27" s="792">
        <f>VLOOKUP(AH26,Matches!$B$4:$K$113,5,0)</f>
        <v>46197.041666666664</v>
      </c>
      <c r="AJ27" s="793"/>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831" t="str">
        <f>IF(ThirdPlaced!$I$33,"•","")</f>
        <v>•</v>
      </c>
      <c r="AM30" s="831"/>
      <c r="AO30" s="19"/>
      <c r="AP30" s="19"/>
      <c r="AR30" s="19"/>
      <c r="AS30" s="19"/>
      <c r="AU30" s="19"/>
      <c r="AV30" s="19"/>
    </row>
    <row r="31" spans="1:48" x14ac:dyDescent="0.3">
      <c r="A31" s="73">
        <v>53</v>
      </c>
      <c r="B31" s="800" t="str">
        <f>VLOOKUP(A31,Matches!$B$4:$K$113,7,0)</f>
        <v>Mexico City</v>
      </c>
      <c r="C31" s="801"/>
      <c r="D31" s="73">
        <v>51</v>
      </c>
      <c r="E31" s="800" t="str">
        <f>VLOOKUP(D31,Matches!$B$4:$K$113,7,0)</f>
        <v>Vancouver</v>
      </c>
      <c r="F31" s="801"/>
      <c r="G31" s="73">
        <v>49</v>
      </c>
      <c r="H31" s="800" t="str">
        <f>VLOOKUP(G31,Matches!$B$4:$K$113,7,0)</f>
        <v>Miami</v>
      </c>
      <c r="I31" s="801"/>
      <c r="J31" s="73">
        <v>59</v>
      </c>
      <c r="K31" s="800" t="str">
        <f>VLOOKUP(J31,Matches!$B$4:$K$113,7,0)</f>
        <v>Los Angeles</v>
      </c>
      <c r="L31" s="801"/>
      <c r="M31" s="73">
        <v>55</v>
      </c>
      <c r="N31" s="800" t="str">
        <f>VLOOKUP(M31,Matches!$B$4:$K$113,7,0)</f>
        <v>Philadelphia</v>
      </c>
      <c r="O31" s="801"/>
      <c r="P31" s="73">
        <v>57</v>
      </c>
      <c r="Q31" s="800" t="str">
        <f>VLOOKUP(P31,Matches!$B$4:$K$113,7,0)</f>
        <v>Dallas</v>
      </c>
      <c r="R31" s="801"/>
      <c r="S31" s="73">
        <v>63</v>
      </c>
      <c r="T31" s="800" t="str">
        <f>VLOOKUP(S31,Matches!$B$4:$K$113,7,0)</f>
        <v>Seattle</v>
      </c>
      <c r="U31" s="801"/>
      <c r="V31" s="73">
        <v>65</v>
      </c>
      <c r="W31" s="800" t="str">
        <f>VLOOKUP(V31,Matches!$B$4:$K$113,7,0)</f>
        <v>Houston</v>
      </c>
      <c r="X31" s="801"/>
      <c r="Y31" s="73">
        <v>61</v>
      </c>
      <c r="Z31" s="800" t="str">
        <f>VLOOKUP(Y31,Matches!$B$4:$K$113,7,0)</f>
        <v>Boston</v>
      </c>
      <c r="AA31" s="801"/>
      <c r="AB31" s="73">
        <v>69</v>
      </c>
      <c r="AC31" s="800" t="str">
        <f>VLOOKUP(AB31,Matches!$B$4:$K$113,7,0)</f>
        <v>Kansas City</v>
      </c>
      <c r="AD31" s="801"/>
      <c r="AE31" s="73">
        <v>71</v>
      </c>
      <c r="AF31" s="800" t="str">
        <f>VLOOKUP(AE31,Matches!$B$4:$K$113,7,0)</f>
        <v>Miami</v>
      </c>
      <c r="AG31" s="801"/>
      <c r="AH31" s="73">
        <v>67</v>
      </c>
      <c r="AI31" s="800" t="str">
        <f>VLOOKUP(AH31,Matches!$B$4:$K$113,7,0)</f>
        <v>New York/New Jersey</v>
      </c>
      <c r="AJ31" s="801"/>
      <c r="AK31" s="73"/>
      <c r="AL31" s="838" t="str">
        <f>Language!$E$180</f>
        <v>Third in the group</v>
      </c>
      <c r="AM31" s="839"/>
      <c r="AN31" s="467" t="str">
        <f>Language!$E$181</f>
        <v>Grp</v>
      </c>
      <c r="AQ31" s="73"/>
      <c r="AT31" s="73"/>
    </row>
    <row r="32" spans="1:48" x14ac:dyDescent="0.3">
      <c r="B32" s="792">
        <f>VLOOKUP(A31,Matches!$B$4:$K$113,5,0)</f>
        <v>46198.125</v>
      </c>
      <c r="C32" s="793"/>
      <c r="E32" s="792">
        <f>VLOOKUP(D31,Matches!$B$4:$K$113,5,0)</f>
        <v>46197.875</v>
      </c>
      <c r="F32" s="793"/>
      <c r="H32" s="792">
        <f>VLOOKUP(G31,Matches!$B$4:$K$113,5,0)</f>
        <v>46198</v>
      </c>
      <c r="I32" s="793"/>
      <c r="K32" s="792">
        <f>VLOOKUP(J31,Matches!$B$4:$K$113,5,0)</f>
        <v>46199.166666666664</v>
      </c>
      <c r="L32" s="793"/>
      <c r="N32" s="792">
        <f>VLOOKUP(M31,Matches!$B$4:$K$113,5,0)</f>
        <v>46198.916666666664</v>
      </c>
      <c r="O32" s="793"/>
      <c r="Q32" s="792">
        <f>VLOOKUP(P31,Matches!$B$4:$K$113,5,0)</f>
        <v>46199.041666666664</v>
      </c>
      <c r="R32" s="793"/>
      <c r="T32" s="792">
        <f>VLOOKUP(S31,Matches!$B$4:$K$113,5,0)</f>
        <v>46200.208333333336</v>
      </c>
      <c r="U32" s="793"/>
      <c r="W32" s="792">
        <f>VLOOKUP(V31,Matches!$B$4:$K$113,5,0)</f>
        <v>46200.083333333336</v>
      </c>
      <c r="X32" s="793"/>
      <c r="Z32" s="792">
        <f>VLOOKUP(Y31,Matches!$B$4:$K$113,5,0)</f>
        <v>46199.875</v>
      </c>
      <c r="AA32" s="793"/>
      <c r="AC32" s="792">
        <f>VLOOKUP(AB31,Matches!$B$4:$K$113,5,0)</f>
        <v>46201.166666666664</v>
      </c>
      <c r="AD32" s="793"/>
      <c r="AF32" s="792">
        <f>VLOOKUP(AE31,Matches!$B$4:$K$113,5,0)</f>
        <v>46201.0625</v>
      </c>
      <c r="AG32" s="793"/>
      <c r="AI32" s="792">
        <f>VLOOKUP(AH31,Matches!$B$4:$K$113,5,0)</f>
        <v>46200.958333333336</v>
      </c>
      <c r="AJ32" s="793"/>
      <c r="AL32" s="466" t="str">
        <f>IF(OR(ThirdPlaced!$D17&gt;0,ThirdPlaced!$G17&gt;0),ThirdPlaced!$C17,"")</f>
        <v/>
      </c>
      <c r="AM32" s="459" t="str">
        <f>IF(AL32&lt;&gt;"","   "&amp;ThirdPlaced!$D17&amp;"        "&amp;ThirdPlaced!$F17&amp;Language!$E$197&amp;ThirdPlaced!$G17,"")</f>
        <v/>
      </c>
      <c r="AN32" s="465" t="str">
        <f>IF(AL32&lt;&gt;"",ThirdPlaced!$I17,"")</f>
        <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
      </c>
      <c r="AM33" s="459" t="str">
        <f>IF(AL33&lt;&gt;"","   "&amp;ThirdPlaced!$D18&amp;"        "&amp;ThirdPlaced!$F18&amp;Language!$E$197&amp;ThirdPlaced!$G18,"")</f>
        <v/>
      </c>
      <c r="AN33" s="465" t="str">
        <f>IF(AL33&lt;&gt;"",ThirdPlaced!$I18,"")</f>
        <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
      </c>
      <c r="AM34" s="459" t="str">
        <f>IF(AL34&lt;&gt;"","   "&amp;ThirdPlaced!$D19&amp;"        "&amp;ThirdPlaced!$F19&amp;Language!$E$197&amp;ThirdPlaced!$G19,"")</f>
        <v/>
      </c>
      <c r="AN34" s="465" t="str">
        <f>IF(AL34&lt;&gt;"",ThirdPlaced!$I19,"")</f>
        <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x14ac:dyDescent="0.3">
      <c r="A36" s="73">
        <v>54</v>
      </c>
      <c r="B36" s="800" t="str">
        <f>VLOOKUP(A36,Matches!$B$4:$K$113,7,0)</f>
        <v>Monterrey</v>
      </c>
      <c r="C36" s="801"/>
      <c r="D36" s="73">
        <v>52</v>
      </c>
      <c r="E36" s="800" t="str">
        <f>VLOOKUP(D36,Matches!$B$4:$K$113,7,0)</f>
        <v>Seattle</v>
      </c>
      <c r="F36" s="801"/>
      <c r="G36" s="73">
        <v>50</v>
      </c>
      <c r="H36" s="800" t="str">
        <f>VLOOKUP(G36,Matches!$B$4:$K$113,7,0)</f>
        <v>Atlanta</v>
      </c>
      <c r="I36" s="801"/>
      <c r="J36" s="73">
        <v>60</v>
      </c>
      <c r="K36" s="800" t="str">
        <f>VLOOKUP(J36,Matches!$B$4:$K$113,7,0)</f>
        <v>San Francisco Bay Area</v>
      </c>
      <c r="L36" s="801"/>
      <c r="M36" s="73">
        <v>56</v>
      </c>
      <c r="N36" s="800" t="str">
        <f>VLOOKUP(M36,Matches!$B$4:$K$113,7,0)</f>
        <v>New York/New Jersey</v>
      </c>
      <c r="O36" s="801"/>
      <c r="P36" s="73">
        <v>58</v>
      </c>
      <c r="Q36" s="800" t="str">
        <f>VLOOKUP(P36,Matches!$B$4:$K$113,7,0)</f>
        <v>Kansas City</v>
      </c>
      <c r="R36" s="801"/>
      <c r="S36" s="73">
        <v>64</v>
      </c>
      <c r="T36" s="800" t="str">
        <f>VLOOKUP(S36,Matches!$B$4:$K$113,7,0)</f>
        <v>Vancouver</v>
      </c>
      <c r="U36" s="801"/>
      <c r="V36" s="73">
        <v>66</v>
      </c>
      <c r="W36" s="800" t="str">
        <f>VLOOKUP(V36,Matches!$B$4:$K$113,7,0)</f>
        <v>Guadalajara</v>
      </c>
      <c r="X36" s="801"/>
      <c r="Y36" s="73">
        <v>62</v>
      </c>
      <c r="Z36" s="800" t="str">
        <f>VLOOKUP(Y36,Matches!$B$4:$K$113,7,0)</f>
        <v>Toronto</v>
      </c>
      <c r="AA36" s="801"/>
      <c r="AB36" s="73">
        <v>70</v>
      </c>
      <c r="AC36" s="800" t="str">
        <f>VLOOKUP(AB36,Matches!$B$4:$K$113,7,0)</f>
        <v>Dallas</v>
      </c>
      <c r="AD36" s="801"/>
      <c r="AE36" s="73">
        <v>72</v>
      </c>
      <c r="AF36" s="800" t="str">
        <f>VLOOKUP(AE36,Matches!$B$4:$K$113,7,0)</f>
        <v>Atlanta</v>
      </c>
      <c r="AG36" s="801"/>
      <c r="AH36" s="73">
        <v>68</v>
      </c>
      <c r="AI36" s="800" t="str">
        <f>VLOOKUP(AH36,Matches!$B$4:$K$113,7,0)</f>
        <v>Philadelphia</v>
      </c>
      <c r="AJ36" s="801"/>
      <c r="AK36" s="73"/>
      <c r="AL36" s="466" t="str">
        <f>IF(OR(ThirdPlaced!$D21&gt;0,ThirdPlaced!$G21&gt;0),ThirdPlaced!$C21,"")</f>
        <v/>
      </c>
      <c r="AM36" s="459" t="str">
        <f>IF(AL36&lt;&gt;"","   "&amp;ThirdPlaced!$D21&amp;"        "&amp;ThirdPlaced!$F21&amp;Language!$E$197&amp;ThirdPlaced!$G21,"")</f>
        <v/>
      </c>
      <c r="AN36" s="465" t="str">
        <f>IF(AL36&lt;&gt;"",ThirdPlaced!$I21,"")</f>
        <v/>
      </c>
      <c r="AT36" s="73"/>
    </row>
    <row r="37" spans="1:48" x14ac:dyDescent="0.3">
      <c r="B37" s="792">
        <f>VLOOKUP(A36,Matches!$B$4:$K$113,5,0)</f>
        <v>46198.125</v>
      </c>
      <c r="C37" s="793"/>
      <c r="E37" s="792">
        <f>VLOOKUP(D36,Matches!$B$4:$K$113,5,0)</f>
        <v>46197.875</v>
      </c>
      <c r="F37" s="793"/>
      <c r="H37" s="792">
        <f>VLOOKUP(G36,Matches!$B$4:$K$113,5,0)</f>
        <v>46198</v>
      </c>
      <c r="I37" s="793"/>
      <c r="K37" s="792">
        <f>VLOOKUP(J36,Matches!$B$4:$K$113,5,0)</f>
        <v>46199.166666666664</v>
      </c>
      <c r="L37" s="793"/>
      <c r="N37" s="792">
        <f>VLOOKUP(M36,Matches!$B$4:$K$113,5,0)</f>
        <v>46198.916666666664</v>
      </c>
      <c r="O37" s="793"/>
      <c r="Q37" s="792">
        <f>VLOOKUP(P36,Matches!$B$4:$K$113,5,0)</f>
        <v>46199.041666666664</v>
      </c>
      <c r="R37" s="793"/>
      <c r="T37" s="792">
        <f>VLOOKUP(S36,Matches!$B$4:$K$113,5,0)</f>
        <v>46200.208333333336</v>
      </c>
      <c r="U37" s="793"/>
      <c r="W37" s="792">
        <f>VLOOKUP(V36,Matches!$B$4:$K$113,5,0)</f>
        <v>46200.083333333336</v>
      </c>
      <c r="X37" s="793"/>
      <c r="Z37" s="792">
        <f>VLOOKUP(Y36,Matches!$B$4:$K$113,5,0)</f>
        <v>46199.875</v>
      </c>
      <c r="AA37" s="793"/>
      <c r="AC37" s="792">
        <f>VLOOKUP(AB36,Matches!$B$4:$K$113,5,0)</f>
        <v>46201.166666666664</v>
      </c>
      <c r="AD37" s="793"/>
      <c r="AF37" s="792">
        <f>VLOOKUP(AE36,Matches!$B$4:$K$113,5,0)</f>
        <v>46201.0625</v>
      </c>
      <c r="AG37" s="793"/>
      <c r="AI37" s="792">
        <f>VLOOKUP(AH36,Matches!$B$4:$K$113,5,0)</f>
        <v>46200.958333333336</v>
      </c>
      <c r="AJ37" s="793"/>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830"/>
      <c r="AP39" s="830"/>
      <c r="AQ39" s="38"/>
      <c r="AR39" s="19"/>
      <c r="AS39" s="19"/>
      <c r="AU39" s="19"/>
      <c r="AV39" s="19"/>
    </row>
    <row r="40" spans="1:48" ht="15.6" x14ac:dyDescent="0.3">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x14ac:dyDescent="0.3">
      <c r="B41" s="804" t="str">
        <f>B9</f>
        <v>Group A</v>
      </c>
      <c r="C41" s="805"/>
      <c r="E41" s="804" t="str">
        <f>E9</f>
        <v>Group B</v>
      </c>
      <c r="F41" s="805"/>
      <c r="H41" s="804" t="str">
        <f>H9</f>
        <v>Group C</v>
      </c>
      <c r="I41" s="805"/>
      <c r="K41" s="804" t="str">
        <f>K9</f>
        <v>Group D</v>
      </c>
      <c r="L41" s="805"/>
      <c r="N41" s="804" t="str">
        <f>N9</f>
        <v>Group E</v>
      </c>
      <c r="O41" s="805"/>
      <c r="Q41" s="804" t="str">
        <f>Q9</f>
        <v>Group F</v>
      </c>
      <c r="R41" s="805"/>
      <c r="T41" s="804" t="str">
        <f>T9</f>
        <v>Group G</v>
      </c>
      <c r="U41" s="805"/>
      <c r="V41" s="38"/>
      <c r="W41" s="804" t="str">
        <f>W9</f>
        <v>Group H</v>
      </c>
      <c r="X41" s="805"/>
      <c r="Z41" s="804" t="str">
        <f>Z9</f>
        <v>Group I</v>
      </c>
      <c r="AA41" s="805"/>
      <c r="AC41" s="804" t="str">
        <f>AC9</f>
        <v>Group J</v>
      </c>
      <c r="AD41" s="805"/>
      <c r="AF41" s="804" t="str">
        <f>AF9</f>
        <v>Group K</v>
      </c>
      <c r="AG41" s="805"/>
      <c r="AI41" s="804" t="str">
        <f>AI9</f>
        <v>Group L</v>
      </c>
      <c r="AJ41" s="805"/>
      <c r="AL41" s="460" t="str">
        <f>IF(OR(ThirdPlaced!$D26&gt;0,ThirdPlaced!$G26&gt;0),ThirdPlaced!$C26,"")</f>
        <v/>
      </c>
      <c r="AM41" s="461" t="str">
        <f>IF(AL41&lt;&gt;"","   "&amp;ThirdPlaced!$D26&amp;"        "&amp;ThirdPlaced!$F26&amp;Language!$E$197&amp;ThirdPlaced!$G26,"")</f>
        <v/>
      </c>
      <c r="AN41" s="462" t="str">
        <f>IF(AL41&lt;&gt;"",ThirdPlaced!$I26,"")</f>
        <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Canada</v>
      </c>
      <c r="F42" s="544" t="str">
        <f>IF(CalcB!$L22,F3,"")</f>
        <v xml:space="preserve">   1        1 - 1</v>
      </c>
      <c r="G42" s="69" t="s">
        <v>4</v>
      </c>
      <c r="H42" s="543" t="str">
        <f>IF(CalcC!$L22,H3,"")</f>
        <v/>
      </c>
      <c r="I42" s="544" t="str">
        <f>IF(CalcC!$L22,I3,"")</f>
        <v/>
      </c>
      <c r="J42" s="69" t="s">
        <v>5</v>
      </c>
      <c r="K42" s="543" t="str">
        <f>IF(CalcD!$L22,K3,"")</f>
        <v>USA</v>
      </c>
      <c r="L42" s="544" t="str">
        <f>IF(CalcD!$L22,L3,"")</f>
        <v xml:space="preserve">   3        4 - 1</v>
      </c>
      <c r="M42" s="69" t="s">
        <v>6</v>
      </c>
      <c r="N42" s="543" t="str">
        <f>IF(CalcE!$L22,N3,"")</f>
        <v/>
      </c>
      <c r="O42" s="544" t="str">
        <f>IF(CalcE!$L22,O3,"")</f>
        <v/>
      </c>
      <c r="P42" s="69" t="s">
        <v>7</v>
      </c>
      <c r="Q42" s="543" t="str">
        <f>IF(CalcF!$L22,Q3,"")</f>
        <v/>
      </c>
      <c r="R42" s="544" t="str">
        <f>IF(CalcF!$L22,R3,"")</f>
        <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
      </c>
      <c r="AM42" s="461" t="str">
        <f>IF(AL42&lt;&gt;"","   "&amp;ThirdPlaced!$D27&amp;"        "&amp;ThirdPlaced!$F27&amp;Language!$E$197&amp;ThirdPlaced!$G27,"")</f>
        <v/>
      </c>
      <c r="AN42" s="462" t="str">
        <f>IF(AL42&lt;&gt;"",ThirdPlaced!$I27,"")</f>
        <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Bosnia/Herzeg.</v>
      </c>
      <c r="F43" s="544" t="str">
        <f>IF(CalcB!$L23,F4,"")</f>
        <v xml:space="preserve">   1        1 - 1</v>
      </c>
      <c r="G43" s="69" t="s">
        <v>10</v>
      </c>
      <c r="H43" s="543" t="str">
        <f>IF(CalcC!$L23,H4,"")</f>
        <v/>
      </c>
      <c r="I43" s="544" t="str">
        <f>IF(CalcC!$L23,I4,"")</f>
        <v/>
      </c>
      <c r="J43" s="69" t="s">
        <v>11</v>
      </c>
      <c r="K43" s="543" t="str">
        <f>IF(CalcD!$L23,K4,"")</f>
        <v/>
      </c>
      <c r="L43" s="544" t="str">
        <f>IF(CalcD!$L23,L4,"")</f>
        <v/>
      </c>
      <c r="M43" s="69" t="s">
        <v>12</v>
      </c>
      <c r="N43" s="543" t="str">
        <f>IF(CalcE!$L23,N4,"")</f>
        <v/>
      </c>
      <c r="O43" s="544" t="str">
        <f>IF(CalcE!$L23,O4,"")</f>
        <v/>
      </c>
      <c r="P43" s="69" t="s">
        <v>13</v>
      </c>
      <c r="Q43" s="543" t="str">
        <f>IF(CalcF!$L23,Q4,"")</f>
        <v/>
      </c>
      <c r="R43" s="544" t="str">
        <f>IF(CalcF!$L23,R4,"")</f>
        <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Czech Rep.</v>
      </c>
      <c r="AM43" s="475" t="str">
        <f>IF(AL43&lt;&gt;"","   "&amp;ThirdPlaced!$D28&amp;"        "&amp;ThirdPlaced!$F28&amp;Language!$E$197&amp;ThirdPlaced!$G28,"")</f>
        <v xml:space="preserve">   0        1 - 2</v>
      </c>
      <c r="AN43" s="476" t="str">
        <f>IF(AL43&lt;&gt;"",ThirdPlaced!$I28,"")</f>
        <v>A</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
      </c>
      <c r="F44" s="542" t="str">
        <f>IF(CalcB!$L24,F5,"")</f>
        <v/>
      </c>
      <c r="G44" s="70" t="s">
        <v>16</v>
      </c>
      <c r="H44" s="541" t="str">
        <f>IF(CalcC!$L24,H5,"")</f>
        <v/>
      </c>
      <c r="I44" s="542" t="str">
        <f>IF(CalcC!$L24,I5,"")</f>
        <v/>
      </c>
      <c r="J44" s="70" t="s">
        <v>17</v>
      </c>
      <c r="K44" s="541" t="str">
        <f>IF(CalcD!$L24,K5,"")</f>
        <v/>
      </c>
      <c r="L44" s="542" t="str">
        <f>IF(CalcD!$L24,L5,"")</f>
        <v/>
      </c>
      <c r="M44" s="70" t="s">
        <v>18</v>
      </c>
      <c r="N44" s="541" t="str">
        <f>IF(CalcE!$L24,N5,"")</f>
        <v/>
      </c>
      <c r="O44" s="542" t="str">
        <f>IF(CalcE!$L24,O5,"")</f>
        <v/>
      </c>
      <c r="P44" s="70" t="s">
        <v>19</v>
      </c>
      <c r="Q44" s="541" t="str">
        <f>IF(CalcF!$L24,Q5,"")</f>
        <v/>
      </c>
      <c r="R44" s="542" t="str">
        <f>IF(CalcF!$L24,R5,"")</f>
        <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832" t="str">
        <f>Language!$E$182</f>
        <v>Group combination:</v>
      </c>
      <c r="AM44" s="833"/>
      <c r="AN44" s="834"/>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
      </c>
      <c r="F45" s="542" t="str">
        <f>IF(CalcB!$L25,F6,"")</f>
        <v/>
      </c>
      <c r="G45" s="70" t="s">
        <v>1633</v>
      </c>
      <c r="H45" s="541" t="str">
        <f>IF(CalcC!$L25,H6,"")</f>
        <v/>
      </c>
      <c r="I45" s="542" t="str">
        <f>IF(CalcC!$L25,I6,"")</f>
        <v/>
      </c>
      <c r="J45" s="70" t="s">
        <v>1634</v>
      </c>
      <c r="K45" s="541" t="str">
        <f>IF(CalcD!$L25,K6,"")</f>
        <v>Paraguay</v>
      </c>
      <c r="L45" s="542" t="str">
        <f>IF(CalcD!$L25,L6,"")</f>
        <v xml:space="preserve">   0        1 - 4</v>
      </c>
      <c r="M45" s="70" t="s">
        <v>1635</v>
      </c>
      <c r="N45" s="541" t="str">
        <f>IF(CalcE!$L25,N6,"")</f>
        <v/>
      </c>
      <c r="O45" s="542" t="str">
        <f>IF(CalcE!$L25,O6,"")</f>
        <v/>
      </c>
      <c r="P45" s="70" t="s">
        <v>1636</v>
      </c>
      <c r="Q45" s="541" t="str">
        <f>IF(CalcF!$L25,Q6,"")</f>
        <v/>
      </c>
      <c r="R45" s="542" t="str">
        <f>IF(CalcF!$L25,R6,"")</f>
        <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835" t="str">
        <f>IF(Distinctness!$G$17&gt;0,ThirdPlaced!$I30,"")</f>
        <v>BDEFGIJK</v>
      </c>
      <c r="AM45" s="836"/>
      <c r="AN45" s="837"/>
      <c r="AO45" s="367"/>
      <c r="AP45" s="367"/>
      <c r="AQ45" s="70"/>
      <c r="AR45" s="367"/>
      <c r="AS45" s="367"/>
      <c r="AT45" s="70"/>
      <c r="AU45" s="367"/>
      <c r="AV45" s="367"/>
    </row>
    <row r="46" spans="1:48" ht="33" customHeight="1" x14ac:dyDescent="0.3"/>
    <row r="47" spans="1:48" ht="16.2" thickBot="1" x14ac:dyDescent="0.35">
      <c r="B47" s="808" t="str">
        <f>VLOOKUP(VLOOKUP(A48,Matches!$B$77:$K$92,10,0),Language!$D$142:$E$157,2,0)</f>
        <v>Round of 32 - 3</v>
      </c>
      <c r="C47" s="809"/>
      <c r="E47" s="808" t="str">
        <f>VLOOKUP(VLOOKUP(D48,Matches!$B$77:$K$92,10,0),Language!$D$142:$E$157,2,0)</f>
        <v>Round of 32 - 6</v>
      </c>
      <c r="F47" s="809"/>
      <c r="H47" s="808" t="str">
        <f>VLOOKUP(VLOOKUP(G48,Matches!$B$77:$K$92,10,0),Language!$D$142:$E$157,2,0)</f>
        <v>Round of 32 - 1</v>
      </c>
      <c r="I47" s="809"/>
      <c r="K47" s="808" t="str">
        <f>VLOOKUP(VLOOKUP(J48,Matches!$B$77:$K$92,10,0),Language!$D$142:$E$157,2,0)</f>
        <v>Round of 32 - 4</v>
      </c>
      <c r="L47" s="809"/>
      <c r="N47" s="808" t="str">
        <f>VLOOKUP(VLOOKUP(M48,Matches!$B$77:$K$92,10,0),Language!$D$142:$E$157,2,0)</f>
        <v>Round of 32 - 12</v>
      </c>
      <c r="O47" s="809"/>
      <c r="Q47" s="808" t="str">
        <f>VLOOKUP(VLOOKUP(P48,Matches!$B$77:$K$92,10,0),Language!$D$142:$E$157,2,0)</f>
        <v>Round of 32 - 11</v>
      </c>
      <c r="R47" s="809"/>
      <c r="T47" s="808" t="str">
        <f>VLOOKUP(VLOOKUP(S48,Matches!$B$77:$K$92,10,0),Language!$D$142:$E$157,2,0)</f>
        <v>Round of 32 - 10</v>
      </c>
      <c r="U47" s="809"/>
      <c r="W47" s="808" t="str">
        <f>VLOOKUP(VLOOKUP(V48,Matches!$B$77:$K$92,10,0),Language!$D$142:$E$157,2,0)</f>
        <v>Round of 32 - 9</v>
      </c>
      <c r="X47" s="809"/>
      <c r="Z47" s="808" t="str">
        <f>VLOOKUP(VLOOKUP(Y48,Matches!$B$77:$K$92,10,0),Language!$D$142:$E$157,2,0)</f>
        <v>Round of 32 - 2</v>
      </c>
      <c r="AA47" s="809"/>
      <c r="AC47" s="808" t="str">
        <f>VLOOKUP(VLOOKUP(AB48,Matches!$B$77:$K$92,10,0),Language!$D$142:$E$157,2,0)</f>
        <v>Round of 32 - 5</v>
      </c>
      <c r="AD47" s="809"/>
      <c r="AF47" s="808" t="str">
        <f>VLOOKUP(VLOOKUP(AE48,Matches!$B$77:$K$92,10,0),Language!$D$142:$E$157,2,0)</f>
        <v>Round of 32 - 7</v>
      </c>
      <c r="AG47" s="809"/>
      <c r="AI47" s="808" t="str">
        <f>VLOOKUP(VLOOKUP(AH48,Matches!$B$77:$K$92,10,0),Language!$D$142:$E$157,2,0)</f>
        <v>Round of 32 - 8</v>
      </c>
      <c r="AJ47" s="809"/>
      <c r="AL47" s="808" t="str">
        <f>VLOOKUP(VLOOKUP(AK48,Matches!$B$77:$K$92,10,0),Language!$D$142:$E$157,2,0)</f>
        <v>Round of 32 - 15</v>
      </c>
      <c r="AM47" s="809"/>
      <c r="AO47" s="808" t="str">
        <f>VLOOKUP(VLOOKUP(AN48,Matches!$B$77:$K$92,10,0),Language!$D$142:$E$157,2,0)</f>
        <v>Round of 32 - 14</v>
      </c>
      <c r="AP47" s="809"/>
      <c r="AR47" s="808" t="str">
        <f>VLOOKUP(VLOOKUP(AQ48,Matches!$B$77:$K$92,10,0),Language!$D$142:$E$157,2,0)</f>
        <v>Round of 32 - 13</v>
      </c>
      <c r="AS47" s="809"/>
      <c r="AU47" s="808" t="str">
        <f>VLOOKUP(VLOOKUP(AT48,Matches!$B$77:$K$92,10,0),Language!$D$142:$E$157,2,0)</f>
        <v>Round of 32 - 16</v>
      </c>
      <c r="AV47" s="809"/>
    </row>
    <row r="48" spans="1:48" x14ac:dyDescent="0.3">
      <c r="A48" s="73">
        <f>RIGHT($B$64,2)*1</f>
        <v>74</v>
      </c>
      <c r="B48" s="800" t="str">
        <f>VLOOKUP(A48,Matches!$B$4:$K$113,7,0)</f>
        <v>Boston</v>
      </c>
      <c r="C48" s="801"/>
      <c r="D48" s="73">
        <f>RIGHT($C$64,2)*1</f>
        <v>77</v>
      </c>
      <c r="E48" s="800" t="str">
        <f>VLOOKUP(D48,Matches!$B$4:$K$113,7,0)</f>
        <v>New York/New Jersey</v>
      </c>
      <c r="F48" s="801"/>
      <c r="G48" s="73">
        <f>RIGHT($E$64,2)*1</f>
        <v>73</v>
      </c>
      <c r="H48" s="800" t="str">
        <f>VLOOKUP(G48,Matches!$B$4:$K$113,7,0)</f>
        <v>Los Angeles</v>
      </c>
      <c r="I48" s="801"/>
      <c r="J48" s="73">
        <f>RIGHT($F$64,2)*1</f>
        <v>75</v>
      </c>
      <c r="K48" s="800" t="str">
        <f>VLOOKUP(J48,Matches!$B$4:$K$113,7,0)</f>
        <v>Monterrey</v>
      </c>
      <c r="L48" s="801"/>
      <c r="M48" s="73">
        <f>RIGHT($H$64,2)*1</f>
        <v>83</v>
      </c>
      <c r="N48" s="800" t="str">
        <f>VLOOKUP(M48,Matches!$B$4:$K$113,7,0)</f>
        <v>Toronto</v>
      </c>
      <c r="O48" s="801"/>
      <c r="P48" s="73">
        <f>RIGHT($I$64,2)*1</f>
        <v>84</v>
      </c>
      <c r="Q48" s="800" t="str">
        <f>VLOOKUP(P48,Matches!$B$4:$K$113,7,0)</f>
        <v>Los Angeles</v>
      </c>
      <c r="R48" s="801"/>
      <c r="S48" s="73">
        <f>RIGHT($K$64,2)*1</f>
        <v>81</v>
      </c>
      <c r="T48" s="800" t="str">
        <f>VLOOKUP(S48,Matches!$B$4:$K$113,7,0)</f>
        <v>San Francisco Bay Area</v>
      </c>
      <c r="U48" s="801"/>
      <c r="V48" s="73">
        <f>RIGHT($L$64,2)*1</f>
        <v>82</v>
      </c>
      <c r="W48" s="800" t="str">
        <f>VLOOKUP(V48,Matches!$B$4:$K$113,7,0)</f>
        <v>Seattle</v>
      </c>
      <c r="X48" s="801"/>
      <c r="Y48" s="73">
        <f>RIGHT($N$64,2)*1</f>
        <v>76</v>
      </c>
      <c r="Z48" s="800" t="str">
        <f>VLOOKUP(Y48,Matches!$B$4:$K$113,7,0)</f>
        <v>Houston</v>
      </c>
      <c r="AA48" s="801"/>
      <c r="AB48" s="73">
        <f>RIGHT($O$64,2)*1</f>
        <v>78</v>
      </c>
      <c r="AC48" s="800" t="str">
        <f>VLOOKUP(AB48,Matches!$B$4:$K$113,7,0)</f>
        <v>Dallas</v>
      </c>
      <c r="AD48" s="801"/>
      <c r="AE48" s="73">
        <f>RIGHT($Q$64,2)*1</f>
        <v>79</v>
      </c>
      <c r="AF48" s="800" t="str">
        <f>VLOOKUP(AE48,Matches!$B$4:$K$113,7,0)</f>
        <v>Mexico City</v>
      </c>
      <c r="AG48" s="801"/>
      <c r="AH48" s="73">
        <f>RIGHT($R$64,2)*1</f>
        <v>80</v>
      </c>
      <c r="AI48" s="800" t="str">
        <f>VLOOKUP(AH48,Matches!$B$4:$K$113,7,0)</f>
        <v>Atlanta</v>
      </c>
      <c r="AJ48" s="801"/>
      <c r="AK48" s="73">
        <f>RIGHT($T$64,2)*1</f>
        <v>86</v>
      </c>
      <c r="AL48" s="800" t="str">
        <f>VLOOKUP(AK48,Matches!$B$4:$K$113,7,0)</f>
        <v>Miami</v>
      </c>
      <c r="AM48" s="801"/>
      <c r="AN48" s="73">
        <f>RIGHT($U$64,2)*1</f>
        <v>88</v>
      </c>
      <c r="AO48" s="800" t="str">
        <f>VLOOKUP(AN48,Matches!$B$4:$K$113,7,0)</f>
        <v>Dallas</v>
      </c>
      <c r="AP48" s="801"/>
      <c r="AQ48" s="73">
        <f>RIGHT($W$64,2)*1</f>
        <v>85</v>
      </c>
      <c r="AR48" s="800" t="str">
        <f>VLOOKUP(AQ48,Matches!$B$4:$K$113,7,0)</f>
        <v>Vancouver</v>
      </c>
      <c r="AS48" s="801"/>
      <c r="AT48" s="73">
        <f>RIGHT($X$64,2)*1</f>
        <v>87</v>
      </c>
      <c r="AU48" s="800" t="str">
        <f>VLOOKUP(AT48,Matches!$B$4:$K$113,7,0)</f>
        <v>Kansas City</v>
      </c>
      <c r="AV48" s="801"/>
    </row>
    <row r="49" spans="1:49" x14ac:dyDescent="0.3">
      <c r="B49" s="792">
        <f>VLOOKUP(A48,Matches!$B$4:$K$113,5,0)</f>
        <v>46202.9375</v>
      </c>
      <c r="C49" s="793"/>
      <c r="E49" s="792">
        <f>VLOOKUP(D48,Matches!$B$4:$K$113,5,0)</f>
        <v>46203.958333333336</v>
      </c>
      <c r="F49" s="793"/>
      <c r="H49" s="792">
        <f>VLOOKUP(G48,Matches!$B$4:$K$113,5,0)</f>
        <v>46201.875</v>
      </c>
      <c r="I49" s="793"/>
      <c r="K49" s="792">
        <f>VLOOKUP(J48,Matches!$B$4:$K$113,5,0)</f>
        <v>46203.125</v>
      </c>
      <c r="L49" s="793"/>
      <c r="N49" s="792">
        <f>VLOOKUP(M48,Matches!$B$4:$K$113,5,0)</f>
        <v>46206.041666666664</v>
      </c>
      <c r="O49" s="793"/>
      <c r="Q49" s="792">
        <f>VLOOKUP(P48,Matches!$B$4:$K$113,5,0)</f>
        <v>46205.875</v>
      </c>
      <c r="R49" s="793"/>
      <c r="T49" s="792">
        <f>VLOOKUP(S48,Matches!$B$4:$K$113,5,0)</f>
        <v>46205.083333333336</v>
      </c>
      <c r="U49" s="793"/>
      <c r="V49" s="6"/>
      <c r="W49" s="792">
        <f>VLOOKUP(V48,Matches!$B$4:$K$113,5,0)</f>
        <v>46204.916666666664</v>
      </c>
      <c r="X49" s="793"/>
      <c r="Z49" s="792">
        <f>VLOOKUP(Y48,Matches!$B$4:$K$113,5,0)</f>
        <v>46202.791666666664</v>
      </c>
      <c r="AA49" s="793"/>
      <c r="AC49" s="792">
        <f>VLOOKUP(AB48,Matches!$B$4:$K$113,5,0)</f>
        <v>46203.791666666664</v>
      </c>
      <c r="AD49" s="793"/>
      <c r="AF49" s="792">
        <f>VLOOKUP(AE48,Matches!$B$4:$K$113,5,0)</f>
        <v>46204.125</v>
      </c>
      <c r="AG49" s="793"/>
      <c r="AI49" s="792">
        <f>VLOOKUP(AH48,Matches!$B$4:$K$113,5,0)</f>
        <v>46204.75</v>
      </c>
      <c r="AJ49" s="793"/>
      <c r="AL49" s="792">
        <f>VLOOKUP(AK48,Matches!$B$4:$K$113,5,0)</f>
        <v>46207</v>
      </c>
      <c r="AM49" s="793"/>
      <c r="AO49" s="792">
        <f>VLOOKUP(AN48,Matches!$B$4:$K$113,5,0)</f>
        <v>46206.833333333336</v>
      </c>
      <c r="AP49" s="793"/>
      <c r="AR49" s="792">
        <f>VLOOKUP(AQ48,Matches!$B$4:$K$113,5,0)</f>
        <v>46206.208333333336</v>
      </c>
      <c r="AS49" s="793"/>
      <c r="AT49" s="6"/>
      <c r="AU49" s="792">
        <f>VLOOKUP(AT48,Matches!$B$4:$K$113,5,0)</f>
        <v>46207.145833333336</v>
      </c>
      <c r="AV49" s="793"/>
    </row>
    <row r="50" spans="1:49" x14ac:dyDescent="0.3">
      <c r="B50" s="34" t="str">
        <f>VLOOKUP(A48,Matches!$B$4:$K$113,8,0)</f>
        <v/>
      </c>
      <c r="C50" s="35" t="str">
        <f>VLOOKUP(A48,Matches!$B$4:$K$113,9,0)</f>
        <v/>
      </c>
      <c r="E50" s="34" t="str">
        <f>VLOOKUP(D48,Matches!$B$4:$K$113,8,0)</f>
        <v/>
      </c>
      <c r="F50" s="35" t="str">
        <f>VLOOKUP(D48,Matches!$B$4:$K$113,9,0)</f>
        <v/>
      </c>
      <c r="H50" s="34" t="str">
        <f>VLOOKUP(G48,Matches!$B$4:$K$113,8,0)</f>
        <v>Rep. of Korea</v>
      </c>
      <c r="I50" s="35" t="str">
        <f>VLOOKUP(G48,Matches!$B$4:$K$113,9,0)</f>
        <v>Bosnia/Herzeg.</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USA</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Mexico</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Canada</v>
      </c>
      <c r="AS50" s="35" t="str">
        <f>VLOOKUP(AQ48,Matches!$B$4:$K$113,9,0)</f>
        <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794" t="str">
        <f>Language!$E$175</f>
        <v>Penalty shoot-out:</v>
      </c>
      <c r="C52" s="795"/>
      <c r="E52" s="794" t="str">
        <f>Language!$E$175</f>
        <v>Penalty shoot-out:</v>
      </c>
      <c r="F52" s="795"/>
      <c r="H52" s="794" t="str">
        <f>Language!$E$175</f>
        <v>Penalty shoot-out:</v>
      </c>
      <c r="I52" s="795"/>
      <c r="K52" s="794" t="str">
        <f>Language!$E$175</f>
        <v>Penalty shoot-out:</v>
      </c>
      <c r="L52" s="795"/>
      <c r="N52" s="794" t="str">
        <f>Language!$E$175</f>
        <v>Penalty shoot-out:</v>
      </c>
      <c r="O52" s="795"/>
      <c r="Q52" s="794" t="str">
        <f>Language!$E$175</f>
        <v>Penalty shoot-out:</v>
      </c>
      <c r="R52" s="795"/>
      <c r="T52" s="794" t="str">
        <f>Language!$E$175</f>
        <v>Penalty shoot-out:</v>
      </c>
      <c r="U52" s="795"/>
      <c r="W52" s="794" t="str">
        <f>Language!$E$175</f>
        <v>Penalty shoot-out:</v>
      </c>
      <c r="X52" s="795"/>
      <c r="Z52" s="794" t="str">
        <f>Language!$E$175</f>
        <v>Penalty shoot-out:</v>
      </c>
      <c r="AA52" s="795"/>
      <c r="AC52" s="794" t="str">
        <f>Language!$E$175</f>
        <v>Penalty shoot-out:</v>
      </c>
      <c r="AD52" s="795"/>
      <c r="AF52" s="794" t="str">
        <f>Language!$E$175</f>
        <v>Penalty shoot-out:</v>
      </c>
      <c r="AG52" s="795"/>
      <c r="AI52" s="794" t="str">
        <f>Language!$E$175</f>
        <v>Penalty shoot-out:</v>
      </c>
      <c r="AJ52" s="795"/>
      <c r="AL52" s="814" t="str">
        <f>Language!$E$175</f>
        <v>Penalty shoot-out:</v>
      </c>
      <c r="AM52" s="816"/>
      <c r="AO52" s="814" t="str">
        <f>Language!$E$175</f>
        <v>Penalty shoot-out:</v>
      </c>
      <c r="AP52" s="816"/>
      <c r="AR52" s="814" t="str">
        <f>Language!$E$175</f>
        <v>Penalty shoot-out:</v>
      </c>
      <c r="AS52" s="816"/>
      <c r="AU52" s="814" t="str">
        <f>Language!$E$175</f>
        <v>Penalty shoot-out:</v>
      </c>
      <c r="AV52" s="816"/>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791" t="str">
        <f>IF(AND(B51&lt;&gt;"",C51&lt;&gt;"",B51=C51,B53&lt;&gt;"",C53&lt;&gt;"",B53=C53),Language!$E$192,"")</f>
        <v/>
      </c>
      <c r="C55" s="791"/>
      <c r="D55" s="10"/>
      <c r="E55" s="791" t="str">
        <f>IF(AND(E51&lt;&gt;"",F51&lt;&gt;"",E51=F51,E53&lt;&gt;"",F53&lt;&gt;"",E53=F53),Language!$E$192,"")</f>
        <v/>
      </c>
      <c r="F55" s="791"/>
      <c r="G55" s="10"/>
      <c r="H55" s="791" t="str">
        <f>IF(AND(H51&lt;&gt;"",I51&lt;&gt;"",H51=I51,H53&lt;&gt;"",I53&lt;&gt;"",H53=I53),Language!$E$192,"")</f>
        <v/>
      </c>
      <c r="I55" s="791"/>
      <c r="J55" s="10"/>
      <c r="K55" s="791" t="str">
        <f>IF(AND(K51&lt;&gt;"",L51&lt;&gt;"",K51=L51,K53&lt;&gt;"",L53&lt;&gt;"",K53=L53),Language!$E$192,"")</f>
        <v/>
      </c>
      <c r="L55" s="791"/>
      <c r="M55" s="10"/>
      <c r="N55" s="791" t="str">
        <f>IF(AND(N51&lt;&gt;"",O51&lt;&gt;"",N51=O51,N53&lt;&gt;"",O53&lt;&gt;"",N53=O53),Language!$E$192,"")</f>
        <v/>
      </c>
      <c r="O55" s="791"/>
      <c r="P55" s="10"/>
      <c r="Q55" s="791" t="str">
        <f>IF(AND(Q51&lt;&gt;"",R51&lt;&gt;"",Q51=R51,Q53&lt;&gt;"",R53&lt;&gt;"",Q53=R53),Language!$E$192,"")</f>
        <v/>
      </c>
      <c r="R55" s="791"/>
      <c r="S55" s="10"/>
      <c r="T55" s="791" t="str">
        <f>IF(AND(T51&lt;&gt;"",U51&lt;&gt;"",T51=U51,T53&lt;&gt;"",U53&lt;&gt;"",T53=U53),Language!$E$192,"")</f>
        <v/>
      </c>
      <c r="U55" s="791"/>
      <c r="V55" s="10"/>
      <c r="W55" s="791" t="str">
        <f>IF(AND(W51&lt;&gt;"",X51&lt;&gt;"",W51=X51,W53&lt;&gt;"",X53&lt;&gt;"",W53=X53),Language!$E$192,"")</f>
        <v/>
      </c>
      <c r="X55" s="791"/>
      <c r="Y55" s="9"/>
      <c r="Z55" s="791" t="str">
        <f>IF(AND(Z51&lt;&gt;"",AA51&lt;&gt;"",Z51=AA51,Z53&lt;&gt;"",AA53&lt;&gt;"",Z53=AA53),Language!$E$192,"")</f>
        <v/>
      </c>
      <c r="AA55" s="791"/>
      <c r="AB55" s="10"/>
      <c r="AC55" s="791" t="str">
        <f>IF(AND(AC51&lt;&gt;"",AD51&lt;&gt;"",AC51=AD51,AC53&lt;&gt;"",AD53&lt;&gt;"",AC53=AD53),Language!$E$192,"")</f>
        <v/>
      </c>
      <c r="AD55" s="791"/>
      <c r="AE55" s="10"/>
      <c r="AF55" s="791" t="str">
        <f>IF(AND(AF51&lt;&gt;"",AG51&lt;&gt;"",AF51=AG51,AF53&lt;&gt;"",AG53&lt;&gt;"",AF53=AG53),Language!$E$192,"")</f>
        <v/>
      </c>
      <c r="AG55" s="791"/>
      <c r="AH55" s="10"/>
      <c r="AI55" s="791" t="str">
        <f>IF(AND(AI51&lt;&gt;"",AJ51&lt;&gt;"",AI51=AJ51,AI53&lt;&gt;"",AJ53&lt;&gt;"",AI53=AJ53),Language!$E$192,"")</f>
        <v/>
      </c>
      <c r="AJ55" s="791"/>
      <c r="AK55" s="10"/>
      <c r="AL55" s="791" t="str">
        <f>IF(AND(AL51&lt;&gt;"",AM51&lt;&gt;"",AL51=AM51,AL53&lt;&gt;"",AM53&lt;&gt;"",AL53=AM53),Language!$E$192,"")</f>
        <v/>
      </c>
      <c r="AM55" s="791"/>
      <c r="AN55" s="10"/>
      <c r="AO55" s="791" t="str">
        <f>IF(AND(AO51&lt;&gt;"",AP51&lt;&gt;"",AO51=AP51,AO53&lt;&gt;"",AP53&lt;&gt;"",AO53=AP53),Language!$E$192,"")</f>
        <v/>
      </c>
      <c r="AP55" s="791"/>
      <c r="AQ55" s="10"/>
      <c r="AR55" s="791" t="str">
        <f>IF(AND(AR51&lt;&gt;"",AS51&lt;&gt;"",AR51=AS51,AR53&lt;&gt;"",AS53&lt;&gt;"",AR53=AS53),Language!$E$192,"")</f>
        <v/>
      </c>
      <c r="AS55" s="791"/>
      <c r="AT55" s="10"/>
      <c r="AU55" s="791" t="str">
        <f>IF(AND(AU51&lt;&gt;"",AV51&lt;&gt;"",AU51=AV51,AU53&lt;&gt;"",AV53&lt;&gt;"",AU53=AV53),Language!$E$192,"")</f>
        <v/>
      </c>
      <c r="AV55" s="791"/>
      <c r="AW55" s="9"/>
    </row>
    <row r="56" spans="1:49" x14ac:dyDescent="0.3"/>
    <row r="57" spans="1:49" ht="16.2" thickBot="1" x14ac:dyDescent="0.35">
      <c r="B57" s="806" t="str">
        <f>VLOOKUP(VLOOKUP(A58,Matches!$B$94:$K$101,10,0),Language!$D$158:$E$165,2,0)</f>
        <v>Round of 16 - 2</v>
      </c>
      <c r="C57" s="807"/>
      <c r="E57" s="806" t="str">
        <f>VLOOKUP(VLOOKUP(D58,Matches!$B$94:$K$101,10,0),Language!$D$158:$E$165,2,0)</f>
        <v>Round of 16 - 1</v>
      </c>
      <c r="F57" s="807"/>
      <c r="H57" s="806" t="str">
        <f>VLOOKUP(VLOOKUP(G58,Matches!$B$94:$K$101,10,0),Language!$D$158:$E$165,2,0)</f>
        <v>Round of 16 - 5</v>
      </c>
      <c r="I57" s="807"/>
      <c r="K57" s="806" t="str">
        <f>VLOOKUP(VLOOKUP(J58,Matches!$B$94:$K$101,10,0),Language!$D$158:$E$165,2,0)</f>
        <v>Round of 16 - 6</v>
      </c>
      <c r="L57" s="807"/>
      <c r="N57" s="806" t="str">
        <f>VLOOKUP(VLOOKUP(M58,Matches!$B$94:$K$101,10,0),Language!$D$158:$E$165,2,0)</f>
        <v>Round of 16 - 3</v>
      </c>
      <c r="O57" s="807"/>
      <c r="Q57" s="806" t="str">
        <f>VLOOKUP(VLOOKUP(P58,Matches!$B$94:$K$101,10,0),Language!$D$158:$E$165,2,0)</f>
        <v>Round of 16 - 4</v>
      </c>
      <c r="R57" s="807"/>
      <c r="T57" s="806" t="str">
        <f>VLOOKUP(VLOOKUP(S58,Matches!$B$94:$K$101,10,0),Language!$D$158:$E$165,2,0)</f>
        <v>Round of 16 - 7</v>
      </c>
      <c r="U57" s="807"/>
      <c r="W57" s="806" t="str">
        <f>VLOOKUP(VLOOKUP(V58,Matches!$B$94:$K$101,10,0),Language!$D$158:$E$165,2,0)</f>
        <v>Round of 16 - 8</v>
      </c>
      <c r="X57" s="807"/>
    </row>
    <row r="58" spans="1:49" x14ac:dyDescent="0.3">
      <c r="A58" s="73">
        <f>RIGHT($C$74,2)*1</f>
        <v>89</v>
      </c>
      <c r="B58" s="800" t="str">
        <f>VLOOKUP(A58,Matches!$B$4:$K$113,7,0)</f>
        <v>Philadelphia</v>
      </c>
      <c r="C58" s="801"/>
      <c r="D58" s="73">
        <f>RIGHT($E$74,2)*1</f>
        <v>90</v>
      </c>
      <c r="E58" s="800" t="str">
        <f>VLOOKUP(D58,Matches!$B$4:$K$113,7,0)</f>
        <v>Houston</v>
      </c>
      <c r="F58" s="801"/>
      <c r="G58" s="73">
        <f>RIGHT($I$74,2)*1</f>
        <v>93</v>
      </c>
      <c r="H58" s="800" t="str">
        <f>VLOOKUP(G58,Matches!$B$4:$K$113,7,0)</f>
        <v>Dallas</v>
      </c>
      <c r="I58" s="801"/>
      <c r="J58" s="73">
        <f>RIGHT($K$74,2)*1</f>
        <v>94</v>
      </c>
      <c r="K58" s="800" t="str">
        <f>VLOOKUP(J58,Matches!$B$4:$K$113,7,0)</f>
        <v>Seattle</v>
      </c>
      <c r="L58" s="801"/>
      <c r="M58" s="73">
        <f>RIGHT($O$74,2)*1</f>
        <v>91</v>
      </c>
      <c r="N58" s="800" t="str">
        <f>VLOOKUP(M58,Matches!$B$4:$K$113,7,0)</f>
        <v>New York/New Jersey</v>
      </c>
      <c r="O58" s="801"/>
      <c r="P58" s="73">
        <f>RIGHT($Q$74,2)*1</f>
        <v>92</v>
      </c>
      <c r="Q58" s="800" t="str">
        <f>VLOOKUP(P58,Matches!$B$4:$K$113,7,0)</f>
        <v>Mexico City</v>
      </c>
      <c r="R58" s="801"/>
      <c r="S58" s="73">
        <f>RIGHT($U$74,2)*1</f>
        <v>95</v>
      </c>
      <c r="T58" s="800" t="str">
        <f>VLOOKUP(S58,Matches!$B$4:$K$113,7,0)</f>
        <v>Atlanta</v>
      </c>
      <c r="U58" s="801"/>
      <c r="V58" s="73">
        <f>RIGHT($W$74,2)*1</f>
        <v>96</v>
      </c>
      <c r="W58" s="800" t="str">
        <f>VLOOKUP(V58,Matches!$B$4:$K$113,7,0)</f>
        <v>Vancouver</v>
      </c>
      <c r="X58" s="801"/>
    </row>
    <row r="59" spans="1:49" x14ac:dyDescent="0.3">
      <c r="B59" s="792">
        <f>VLOOKUP(A58,Matches!$B$4:$K$113,5,0)</f>
        <v>46207.958333333336</v>
      </c>
      <c r="C59" s="793"/>
      <c r="E59" s="792">
        <f>VLOOKUP(D58,Matches!$B$4:$K$113,5,0)</f>
        <v>46207.791666666664</v>
      </c>
      <c r="F59" s="793"/>
      <c r="H59" s="792">
        <f>VLOOKUP(G58,Matches!$B$4:$K$113,5,0)</f>
        <v>46209.875</v>
      </c>
      <c r="I59" s="793"/>
      <c r="K59" s="792">
        <f>VLOOKUP(J58,Matches!$B$4:$K$113,5,0)</f>
        <v>46210.083333333336</v>
      </c>
      <c r="L59" s="793"/>
      <c r="N59" s="792">
        <f>VLOOKUP(M58,Matches!$B$4:$K$113,5,0)</f>
        <v>46208.916666666664</v>
      </c>
      <c r="O59" s="793"/>
      <c r="Q59" s="792">
        <f>VLOOKUP(P58,Matches!$B$4:$K$113,5,0)</f>
        <v>46209.083333333336</v>
      </c>
      <c r="R59" s="793"/>
      <c r="T59" s="792">
        <f>VLOOKUP(S58,Matches!$B$4:$K$113,5,0)</f>
        <v>46210.75</v>
      </c>
      <c r="U59" s="793"/>
      <c r="V59" s="6"/>
      <c r="W59" s="792">
        <f>VLOOKUP(V58,Matches!$B$4:$K$113,5,0)</f>
        <v>46210.916666666664</v>
      </c>
      <c r="X59" s="793"/>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794" t="str">
        <f>Language!$E$175</f>
        <v>Penalty shoot-out:</v>
      </c>
      <c r="C62" s="795"/>
      <c r="E62" s="794" t="str">
        <f>Language!$E$175</f>
        <v>Penalty shoot-out:</v>
      </c>
      <c r="F62" s="795"/>
      <c r="H62" s="794" t="str">
        <f>Language!$E$175</f>
        <v>Penalty shoot-out:</v>
      </c>
      <c r="I62" s="795"/>
      <c r="K62" s="794" t="str">
        <f>Language!$E$175</f>
        <v>Penalty shoot-out:</v>
      </c>
      <c r="L62" s="795"/>
      <c r="N62" s="794" t="str">
        <f>Language!$E$175</f>
        <v>Penalty shoot-out:</v>
      </c>
      <c r="O62" s="795"/>
      <c r="Q62" s="794" t="str">
        <f>Language!$E$175</f>
        <v>Penalty shoot-out:</v>
      </c>
      <c r="R62" s="795"/>
      <c r="T62" s="794" t="str">
        <f>Language!$E$175</f>
        <v>Penalty shoot-out:</v>
      </c>
      <c r="U62" s="795"/>
      <c r="W62" s="794" t="str">
        <f>Language!$E$175</f>
        <v>Penalty shoot-out:</v>
      </c>
      <c r="X62" s="79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791" t="str">
        <f>IF(AND(B61&lt;&gt;"",C61&lt;&gt;"",B61=C61,B63&lt;&gt;"",C63&lt;&gt;"",B63=C63),Language!$E$192,"")</f>
        <v/>
      </c>
      <c r="C65" s="791"/>
      <c r="D65" s="10"/>
      <c r="E65" s="791" t="str">
        <f>IF(AND(E61&lt;&gt;"",F61&lt;&gt;"",E61=F61,E63&lt;&gt;"",F63&lt;&gt;"",E63=F63),Language!$E$192,"")</f>
        <v/>
      </c>
      <c r="F65" s="791"/>
      <c r="G65" s="10"/>
      <c r="H65" s="791" t="str">
        <f>IF(AND(H61&lt;&gt;"",I61&lt;&gt;"",H61=I61,H63&lt;&gt;"",I63&lt;&gt;"",H63=I63),Language!$E$192,"")</f>
        <v/>
      </c>
      <c r="I65" s="791"/>
      <c r="J65" s="10"/>
      <c r="K65" s="791" t="str">
        <f>IF(AND(K61&lt;&gt;"",L61&lt;&gt;"",K61=L61,K63&lt;&gt;"",L63&lt;&gt;"",K63=L63),Language!$E$192,"")</f>
        <v/>
      </c>
      <c r="L65" s="791"/>
      <c r="M65" s="10"/>
      <c r="N65" s="791" t="str">
        <f>IF(AND(N61&lt;&gt;"",O61&lt;&gt;"",N61=O61,N63&lt;&gt;"",O63&lt;&gt;"",N63=O63),Language!$E$192,"")</f>
        <v/>
      </c>
      <c r="O65" s="791"/>
      <c r="P65" s="10"/>
      <c r="Q65" s="791" t="str">
        <f>IF(AND(Q61&lt;&gt;"",R61&lt;&gt;"",Q61=R61,Q63&lt;&gt;"",R63&lt;&gt;"",Q63=R63),Language!$E$192,"")</f>
        <v/>
      </c>
      <c r="R65" s="791"/>
      <c r="S65" s="10"/>
      <c r="T65" s="791" t="str">
        <f>IF(AND(T61&lt;&gt;"",U61&lt;&gt;"",T61=U61,T63&lt;&gt;"",U63&lt;&gt;"",T63=U63),Language!$E$192,"")</f>
        <v/>
      </c>
      <c r="U65" s="791"/>
      <c r="V65" s="10"/>
      <c r="W65" s="791" t="str">
        <f>IF(AND(W61&lt;&gt;"",X61&lt;&gt;"",W61=X61,W63&lt;&gt;"",X63&lt;&gt;"",W63=X63),Language!$E$192,"")</f>
        <v/>
      </c>
      <c r="X65" s="791"/>
      <c r="Y65" s="9"/>
    </row>
    <row r="66" spans="1:25" x14ac:dyDescent="0.3">
      <c r="C66" s="11"/>
      <c r="E66" s="11"/>
    </row>
    <row r="67" spans="1:25" ht="15.6" x14ac:dyDescent="0.3">
      <c r="C67" s="810" t="str">
        <f>VLOOKUP(VLOOKUP(B68,Matches!$B$103:$K$106,10,0),Language!$D$166:$E$169,2,0)</f>
        <v>Quarter final 1</v>
      </c>
      <c r="D67" s="810"/>
      <c r="E67" s="810"/>
      <c r="I67" s="810" t="str">
        <f>VLOOKUP(VLOOKUP(H68,Matches!$B$103:$K$106,10,0),Language!$D$166:$E$169,2,0)</f>
        <v>Quarter final 2</v>
      </c>
      <c r="J67" s="810"/>
      <c r="K67" s="810"/>
      <c r="O67" s="810" t="str">
        <f>VLOOKUP(VLOOKUP(N68,Matches!$B$103:$K$106,10,0),Language!$D$166:$E$169,2,0)</f>
        <v>Quarter final 3</v>
      </c>
      <c r="P67" s="810"/>
      <c r="Q67" s="810"/>
      <c r="U67" s="810" t="str">
        <f>VLOOKUP(VLOOKUP(T68,Matches!$B$103:$K$106,10,0),Language!$D$166:$E$169,2,0)</f>
        <v>Quarter final 4</v>
      </c>
      <c r="V67" s="810"/>
      <c r="W67" s="810"/>
    </row>
    <row r="68" spans="1:25" x14ac:dyDescent="0.3">
      <c r="B68" s="73">
        <f>RIGHT($F$84,LEN($F$84)-1)*1</f>
        <v>97</v>
      </c>
      <c r="C68" s="811" t="str">
        <f>VLOOKUP(B68,Matches!$B$4:$K$113,7,0)</f>
        <v>Boston</v>
      </c>
      <c r="D68" s="812"/>
      <c r="E68" s="813"/>
      <c r="H68" s="73">
        <f>RIGHT($H$84,LEN($H$84)-1)*1</f>
        <v>98</v>
      </c>
      <c r="I68" s="811" t="str">
        <f>VLOOKUP(H68,Matches!$B$4:$K$113,7,0)</f>
        <v>Los Angeles</v>
      </c>
      <c r="J68" s="812"/>
      <c r="K68" s="813"/>
      <c r="N68" s="73">
        <f>RIGHT($R$84,LEN($R$84)-1)*1</f>
        <v>99</v>
      </c>
      <c r="O68" s="811" t="str">
        <f>VLOOKUP(N68,Matches!$B$4:$K$113,7,0)</f>
        <v>Miami</v>
      </c>
      <c r="P68" s="812"/>
      <c r="Q68" s="813"/>
      <c r="T68" s="73">
        <f>RIGHT($T$84,LEN($T$84)-1)*1</f>
        <v>100</v>
      </c>
      <c r="U68" s="811" t="str">
        <f>VLOOKUP(T68,Matches!$B$4:$K$113,7,0)</f>
        <v>Kansas City</v>
      </c>
      <c r="V68" s="812"/>
      <c r="W68" s="813"/>
    </row>
    <row r="69" spans="1:25" x14ac:dyDescent="0.3">
      <c r="C69" s="792">
        <f>VLOOKUP(B68,Matches!$B$4:$K$113,5,0)</f>
        <v>46212.916666666664</v>
      </c>
      <c r="D69" s="819"/>
      <c r="E69" s="793"/>
      <c r="I69" s="792">
        <f>VLOOKUP(H68,Matches!$B$4:$K$113,5,0)</f>
        <v>46213.875</v>
      </c>
      <c r="J69" s="819"/>
      <c r="K69" s="793"/>
      <c r="O69" s="792">
        <f>VLOOKUP(N68,Matches!$B$4:$K$113,5,0)</f>
        <v>46214.958333333336</v>
      </c>
      <c r="P69" s="819"/>
      <c r="Q69" s="793"/>
      <c r="U69" s="792">
        <f>VLOOKUP(T68,Matches!$B$4:$K$113,5,0)</f>
        <v>46215.125</v>
      </c>
      <c r="V69" s="819"/>
      <c r="W69" s="793"/>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14" t="str">
        <f>Language!$E$175</f>
        <v>Penalty shoot-out:</v>
      </c>
      <c r="D72" s="815"/>
      <c r="E72" s="816"/>
      <c r="I72" s="814" t="str">
        <f>Language!$E$175</f>
        <v>Penalty shoot-out:</v>
      </c>
      <c r="J72" s="815"/>
      <c r="K72" s="816"/>
      <c r="O72" s="814" t="str">
        <f>Language!$E$175</f>
        <v>Penalty shoot-out:</v>
      </c>
      <c r="P72" s="815"/>
      <c r="Q72" s="816"/>
      <c r="U72" s="814" t="str">
        <f>Language!$E$175</f>
        <v>Penalty shoot-out:</v>
      </c>
      <c r="V72" s="815"/>
      <c r="W72" s="816"/>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18" t="str">
        <f>VLOOKUP(E78,Matches!$B$103:$K$113,10,0)</f>
        <v>Semi-Final 1</v>
      </c>
      <c r="G77" s="818"/>
      <c r="H77" s="818"/>
      <c r="R77" s="818" t="str">
        <f>VLOOKUP(Q78,Matches!$B$103:$K$113,10,0)</f>
        <v>Semi-Final 2</v>
      </c>
      <c r="S77" s="818"/>
      <c r="T77" s="818"/>
    </row>
    <row r="78" spans="1:25" x14ac:dyDescent="0.3">
      <c r="E78" s="73">
        <v>101</v>
      </c>
      <c r="F78" s="811" t="str">
        <f>VLOOKUP(E78,Matches!$B$4:$K$113,7,0)</f>
        <v>Dallas</v>
      </c>
      <c r="G78" s="812"/>
      <c r="H78" s="813"/>
      <c r="Q78" s="73">
        <v>102</v>
      </c>
      <c r="R78" s="811" t="str">
        <f>VLOOKUP(Q78,Matches!$B$4:$K$113,7,0)</f>
        <v>Atlanta</v>
      </c>
      <c r="S78" s="812"/>
      <c r="T78" s="813"/>
    </row>
    <row r="79" spans="1:25" ht="15.6" x14ac:dyDescent="0.3">
      <c r="F79" s="792">
        <f>VLOOKUP(E78,Matches!$B$4:$K$113,5,0)</f>
        <v>46217.875</v>
      </c>
      <c r="G79" s="819"/>
      <c r="H79" s="793"/>
      <c r="L79" s="24"/>
      <c r="M79" s="24"/>
      <c r="R79" s="792">
        <f>VLOOKUP(Q78,Matches!$B$4:$K$113,5,0)</f>
        <v>46218.875</v>
      </c>
      <c r="S79" s="819"/>
      <c r="T79" s="793"/>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14" t="str">
        <f>Language!$E$175</f>
        <v>Penalty shoot-out:</v>
      </c>
      <c r="G82" s="815"/>
      <c r="H82" s="816"/>
      <c r="L82" s="16"/>
      <c r="R82" s="814" t="str">
        <f>Language!$E$175</f>
        <v>Penalty shoot-out:</v>
      </c>
      <c r="S82" s="815"/>
      <c r="T82" s="816"/>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28" t="str">
        <f>VLOOKUP(K86,Matches!$B$103:$K$113,10,0)</f>
        <v>Third place</v>
      </c>
      <c r="M85" s="828"/>
      <c r="N85" s="828"/>
      <c r="R85" s="817" t="str">
        <f>IF(AND(R81&lt;&gt;"",T81&lt;&gt;"",R81=T81,R83&lt;&gt;"",T83&lt;&gt;"",R83=T83),Language!$E$192,"")</f>
        <v/>
      </c>
      <c r="S85" s="817"/>
      <c r="T85" s="817"/>
    </row>
    <row r="86" spans="6:23" x14ac:dyDescent="0.3">
      <c r="K86" s="73">
        <v>103</v>
      </c>
      <c r="L86" s="811" t="str">
        <f>VLOOKUP(K86,Matches!$B$4:$K$113,7,0)</f>
        <v>Miami</v>
      </c>
      <c r="M86" s="812"/>
      <c r="N86" s="813"/>
    </row>
    <row r="87" spans="6:23" x14ac:dyDescent="0.3">
      <c r="L87" s="792">
        <f>VLOOKUP(K86,Matches!$B$4:$K$113,5,0)</f>
        <v>46221.958333333336</v>
      </c>
      <c r="M87" s="819"/>
      <c r="N87" s="793"/>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14" t="str">
        <f>Language!$E$175</f>
        <v>Penalty shoot-out:</v>
      </c>
      <c r="M90" s="815"/>
      <c r="N90" s="816"/>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3" t="str">
        <f>VLOOKUP(K96,Matches!$B$103:$K$113,10,0)</f>
        <v>Final</v>
      </c>
      <c r="M95" s="824"/>
      <c r="N95" s="825"/>
    </row>
    <row r="96" spans="6:23" x14ac:dyDescent="0.3">
      <c r="K96" s="73">
        <v>104</v>
      </c>
      <c r="L96" s="811" t="str">
        <f>VLOOKUP(K96,Matches!$B$4:$K$113,7,0)</f>
        <v>New York/New Jersey</v>
      </c>
      <c r="M96" s="812"/>
      <c r="N96" s="813"/>
      <c r="R96" s="826" t="str">
        <f>Language!$E$141</f>
        <v>World Champion 2026:</v>
      </c>
      <c r="S96" s="826"/>
      <c r="T96" s="826"/>
      <c r="U96" s="826"/>
      <c r="V96" s="826"/>
      <c r="W96" s="826"/>
    </row>
    <row r="97" spans="2:24" x14ac:dyDescent="0.3">
      <c r="L97" s="792">
        <f>VLOOKUP(K96,Matches!$B$4:$K$113,5,0)</f>
        <v>46222.875</v>
      </c>
      <c r="M97" s="819"/>
      <c r="N97" s="793"/>
      <c r="R97" s="826"/>
      <c r="S97" s="826"/>
      <c r="T97" s="826"/>
      <c r="U97" s="826"/>
      <c r="V97" s="826"/>
      <c r="W97" s="826"/>
    </row>
    <row r="98" spans="2:24" x14ac:dyDescent="0.3">
      <c r="L98" s="7" t="str">
        <f>IF(AND(F81&lt;&gt;"",H81&lt;&gt;""),IF(F81&gt;H81,F80,IF(F81&lt;H81,H80,IF(AND(F83&lt;&gt;"",H83&lt;&gt;""),IF(F83&gt;H83,F80,IF(F83&lt;H83,H80,"")),""))),"")</f>
        <v/>
      </c>
      <c r="N98" s="8" t="str">
        <f>IF(AND(R81&lt;&gt;"",T81&lt;&gt;""),IF(R81&gt;T81,R80,IF(R81&lt;T81,T80,IF(AND(R83&lt;&gt;"",T83&lt;&gt;""),IF(R83&gt;T83,R80,IF(R83&lt;T83,T80,"")),""))),"")</f>
        <v/>
      </c>
      <c r="R98" s="827" t="str">
        <f>IF(AND(L99&lt;&gt;"",N99&lt;&gt;""),IF(L99&gt;N99,L98,IF(L99&lt;N99,N98,IF(AND(L101&lt;&gt;"",N101&lt;&gt;""),IF(L101&gt;N101,L98,IF(L101&lt;N101,N98,"")),""))),"")</f>
        <v/>
      </c>
      <c r="S98" s="827"/>
      <c r="T98" s="827"/>
      <c r="U98" s="827"/>
      <c r="V98" s="827"/>
      <c r="W98" s="827"/>
    </row>
    <row r="99" spans="2:24" ht="15" thickBot="1" x14ac:dyDescent="0.35">
      <c r="B99" s="15"/>
      <c r="L99" s="1"/>
      <c r="M99" s="11"/>
      <c r="N99" s="3"/>
      <c r="O99" s="188"/>
      <c r="R99" s="827"/>
      <c r="S99" s="827"/>
      <c r="T99" s="827"/>
      <c r="U99" s="827"/>
      <c r="V99" s="827"/>
      <c r="W99" s="827"/>
    </row>
    <row r="100" spans="2:24" ht="9.9" customHeight="1" x14ac:dyDescent="0.3">
      <c r="B100" s="15"/>
      <c r="L100" s="814" t="str">
        <f>Language!$E$175</f>
        <v>Penalty shoot-out:</v>
      </c>
      <c r="M100" s="815"/>
      <c r="N100" s="816"/>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20"/>
      <c r="V105" s="820"/>
      <c r="W105" s="820"/>
      <c r="X105" s="820"/>
    </row>
    <row r="106" spans="2:24" x14ac:dyDescent="0.3">
      <c r="B106" s="821" t="s">
        <v>1711</v>
      </c>
      <c r="C106" s="821"/>
      <c r="D106" s="821"/>
      <c r="T106" s="822" t="s">
        <v>1019</v>
      </c>
      <c r="U106" s="822"/>
      <c r="V106" s="822"/>
      <c r="W106" s="822"/>
      <c r="X106" s="822"/>
    </row>
    <row r="107" spans="2:24" x14ac:dyDescent="0.3"/>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76" t="str">
        <f>Language!$E$124</f>
        <v>Choose time zone</v>
      </c>
      <c r="B1" s="876"/>
      <c r="C1" s="876"/>
      <c r="D1" s="876"/>
      <c r="E1" s="876"/>
      <c r="F1" s="876"/>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0</v>
      </c>
    </row>
    <row r="15" spans="2:5" x14ac:dyDescent="0.3">
      <c r="B15" s="105" t="s">
        <v>1046</v>
      </c>
      <c r="C15" s="360">
        <v>19</v>
      </c>
      <c r="D15" s="170" t="str">
        <f>VLOOKUP($C15,Language!$D$5:$E$100,2,0)</f>
        <v>Switzerland</v>
      </c>
      <c r="E15" s="521" t="b">
        <f>OR(CalcB!$K$8&gt;0,CalcB!$I$8&gt;0)</f>
        <v>0</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0</v>
      </c>
    </row>
    <row r="18" spans="2:5" x14ac:dyDescent="0.3">
      <c r="B18" s="105" t="s">
        <v>178</v>
      </c>
      <c r="C18" s="111">
        <v>8</v>
      </c>
      <c r="D18" s="170" t="str">
        <f>VLOOKUP($C18,Language!$D$5:$E$100,2,0)</f>
        <v>Morocco</v>
      </c>
      <c r="E18" s="521" t="b">
        <f>OR(CalcC!$K$6&gt;0,CalcC!$I$6&gt;0)</f>
        <v>0</v>
      </c>
    </row>
    <row r="19" spans="2:5" x14ac:dyDescent="0.3">
      <c r="B19" s="105" t="s">
        <v>179</v>
      </c>
      <c r="C19" s="111">
        <v>83</v>
      </c>
      <c r="D19" s="170" t="str">
        <f>VLOOKUP($C19,Language!$D$5:$E$100,2,0)</f>
        <v>Haiti</v>
      </c>
      <c r="E19" s="521" t="b">
        <f>OR(CalcC!$K$7&gt;0,CalcC!$I$7&gt;0)</f>
        <v>0</v>
      </c>
    </row>
    <row r="20" spans="2:5" x14ac:dyDescent="0.3">
      <c r="B20" s="105" t="s">
        <v>1047</v>
      </c>
      <c r="C20" s="360">
        <v>43</v>
      </c>
      <c r="D20" s="170" t="str">
        <f>VLOOKUP($C20,Language!$D$5:$E$100,2,0)</f>
        <v>Scotland</v>
      </c>
      <c r="E20" s="521" t="b">
        <f>OR(CalcC!$K$8&gt;0,CalcC!$I$8&gt;0)</f>
        <v>0</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0</v>
      </c>
    </row>
    <row r="25" spans="2:5" x14ac:dyDescent="0.3">
      <c r="B25" s="105" t="s">
        <v>1048</v>
      </c>
      <c r="C25" s="360">
        <v>22</v>
      </c>
      <c r="D25" s="170" t="str">
        <f>VLOOKUP($C25,Language!$D$5:$E$100,2,0)</f>
        <v>Turkey</v>
      </c>
      <c r="E25" s="521" t="b">
        <f>OR(CalcD!$K$8&gt;0,CalcD!$I$8&gt;0)</f>
        <v>0</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0</v>
      </c>
    </row>
    <row r="28" spans="2:5" x14ac:dyDescent="0.3">
      <c r="B28" s="105" t="s">
        <v>184</v>
      </c>
      <c r="C28" s="108">
        <v>82</v>
      </c>
      <c r="D28" s="170" t="str">
        <f>VLOOKUP($C28,Language!$D$5:$E$100,2,0)</f>
        <v>Curaçao</v>
      </c>
      <c r="E28" s="521" t="b">
        <f>OR(CalcE!$K$6&gt;0,CalcE!$I$6&gt;0)</f>
        <v>0</v>
      </c>
    </row>
    <row r="29" spans="2:5" x14ac:dyDescent="0.3">
      <c r="B29" s="105" t="s">
        <v>185</v>
      </c>
      <c r="C29" s="111">
        <v>34</v>
      </c>
      <c r="D29" s="170" t="str">
        <f>VLOOKUP($C29,Language!$D$5:$E$100,2,0)</f>
        <v>Ivory Coast</v>
      </c>
      <c r="E29" s="521" t="b">
        <f>OR(CalcE!$K$7&gt;0,CalcE!$I$7&gt;0)</f>
        <v>0</v>
      </c>
    </row>
    <row r="30" spans="2:5" x14ac:dyDescent="0.3">
      <c r="B30" s="105" t="s">
        <v>1049</v>
      </c>
      <c r="C30" s="360">
        <v>23</v>
      </c>
      <c r="D30" s="170" t="str">
        <f>VLOOKUP($C30,Language!$D$5:$E$100,2,0)</f>
        <v>Ecuador</v>
      </c>
      <c r="E30" s="521" t="b">
        <f>OR(CalcE!$K$8&gt;0,CalcE!$I$8&gt;0)</f>
        <v>0</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0</v>
      </c>
    </row>
    <row r="33" spans="2:5" x14ac:dyDescent="0.3">
      <c r="B33" s="105" t="s">
        <v>267</v>
      </c>
      <c r="C33" s="111">
        <v>18</v>
      </c>
      <c r="D33" s="170" t="str">
        <f>VLOOKUP($C33,Language!$D$5:$E$100,2,0)</f>
        <v>Japan</v>
      </c>
      <c r="E33" s="521" t="b">
        <f>OR(CalcF!$K$6&gt;0,CalcF!$I$6&gt;0)</f>
        <v>0</v>
      </c>
    </row>
    <row r="34" spans="2:5" x14ac:dyDescent="0.3">
      <c r="B34" s="105" t="s">
        <v>268</v>
      </c>
      <c r="C34" s="108">
        <v>38</v>
      </c>
      <c r="D34" s="170" t="str">
        <f>VLOOKUP($C34,Language!$D$5:$E$100,2,0)</f>
        <v>Sweden</v>
      </c>
      <c r="E34" s="521" t="b">
        <f>OR(CalcF!$K$7&gt;0,CalcF!$I$7&gt;0)</f>
        <v>0</v>
      </c>
    </row>
    <row r="35" spans="2:5" x14ac:dyDescent="0.3">
      <c r="B35" s="105" t="s">
        <v>1050</v>
      </c>
      <c r="C35" s="361">
        <v>44</v>
      </c>
      <c r="D35" s="170" t="str">
        <f>VLOOKUP($C35,Language!$D$5:$E$100,2,0)</f>
        <v>Tunisia</v>
      </c>
      <c r="E35" s="521" t="b">
        <f>OR(CalcF!$K$8&gt;0,CalcF!$I$8&gt;0)</f>
        <v>0</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0</v>
      </c>
    </row>
    <row r="38" spans="2:5" x14ac:dyDescent="0.3">
      <c r="B38" s="105" t="s">
        <v>187</v>
      </c>
      <c r="C38" s="111">
        <v>29</v>
      </c>
      <c r="D38" s="170" t="str">
        <f>VLOOKUP($C38,Language!$D$5:$E$100,2,0)</f>
        <v>Egypt</v>
      </c>
      <c r="E38" s="521" t="b">
        <f>OR(CalcG!$K$6&gt;0,CalcG!$I$6&gt;0)</f>
        <v>0</v>
      </c>
    </row>
    <row r="39" spans="2:5" x14ac:dyDescent="0.3">
      <c r="B39" s="105" t="s">
        <v>188</v>
      </c>
      <c r="C39" s="111">
        <v>21</v>
      </c>
      <c r="D39" s="170" t="str">
        <f>VLOOKUP($C39,Language!$D$5:$E$100,2,0)</f>
        <v>IR Iran</v>
      </c>
      <c r="E39" s="521" t="b">
        <f>OR(CalcG!$K$7&gt;0,CalcG!$I$7&gt;0)</f>
        <v>0</v>
      </c>
    </row>
    <row r="40" spans="2:5" x14ac:dyDescent="0.3">
      <c r="B40" s="105" t="s">
        <v>1051</v>
      </c>
      <c r="C40" s="360">
        <v>85</v>
      </c>
      <c r="D40" s="170" t="str">
        <f>VLOOKUP($C40,Language!$D$5:$E$100,2,0)</f>
        <v>New Zealand</v>
      </c>
      <c r="E40" s="521" t="b">
        <f>OR(CalcG!$K$8&gt;0,CalcG!$I$8&gt;0)</f>
        <v>0</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0</v>
      </c>
    </row>
    <row r="43" spans="2:5" x14ac:dyDescent="0.3">
      <c r="B43" s="105" t="s">
        <v>270</v>
      </c>
      <c r="C43" s="111">
        <v>69</v>
      </c>
      <c r="D43" s="172" t="str">
        <f>VLOOKUP($C43,Language!$D$5:$E$100,2,0)</f>
        <v>Cape Verde</v>
      </c>
      <c r="E43" s="521" t="b">
        <f>OR(CalcH!$K$6&gt;0,CalcH!$I$6&gt;0)</f>
        <v>0</v>
      </c>
    </row>
    <row r="44" spans="2:5" x14ac:dyDescent="0.3">
      <c r="B44" s="105" t="s">
        <v>271</v>
      </c>
      <c r="C44" s="111">
        <v>61</v>
      </c>
      <c r="D44" s="172" t="str">
        <f>VLOOKUP($C44,Language!$D$5:$E$100,2,0)</f>
        <v>Saudi Arabia</v>
      </c>
      <c r="E44" s="521" t="b">
        <f>OR(CalcH!$K$7&gt;0,CalcH!$I$7&gt;0)</f>
        <v>0</v>
      </c>
    </row>
    <row r="45" spans="2:5" x14ac:dyDescent="0.3">
      <c r="B45" s="151" t="s">
        <v>1052</v>
      </c>
      <c r="C45" s="360">
        <v>17</v>
      </c>
      <c r="D45" s="172" t="str">
        <f>VLOOKUP($C45,Language!$D$5:$E$100,2,0)</f>
        <v>Uruguay</v>
      </c>
      <c r="E45" s="521" t="b">
        <f>OR(CalcH!$K$8&gt;0,CalcH!$I$8&gt;0)</f>
        <v>0</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0</v>
      </c>
    </row>
    <row r="48" spans="2:5" x14ac:dyDescent="0.3">
      <c r="B48" s="105" t="s">
        <v>843</v>
      </c>
      <c r="C48" s="111">
        <v>14</v>
      </c>
      <c r="D48" s="170" t="str">
        <f>VLOOKUP($C48,Language!$D$5:$E$100,2,0)</f>
        <v>Senegal</v>
      </c>
      <c r="E48" s="521" t="b">
        <f>OR(CalcI!$K$6&gt;0,CalcI!$I$6&gt;0)</f>
        <v>0</v>
      </c>
    </row>
    <row r="49" spans="2:5" x14ac:dyDescent="0.3">
      <c r="B49" s="105" t="s">
        <v>844</v>
      </c>
      <c r="C49" s="111">
        <v>57</v>
      </c>
      <c r="D49" s="170" t="str">
        <f>VLOOKUP($C49,Language!$D$5:$E$100,2,0)</f>
        <v>Iraq</v>
      </c>
      <c r="E49" s="521" t="b">
        <f>OR(CalcI!$K$7&gt;0,CalcI!$I$7&gt;0)</f>
        <v>0</v>
      </c>
    </row>
    <row r="50" spans="2:5" x14ac:dyDescent="0.3">
      <c r="B50" s="105" t="s">
        <v>1053</v>
      </c>
      <c r="C50" s="360">
        <v>31</v>
      </c>
      <c r="D50" s="170" t="str">
        <f>VLOOKUP($C50,Language!$D$5:$E$100,2,0)</f>
        <v>Norway</v>
      </c>
      <c r="E50" s="521" t="b">
        <f>OR(CalcI!$K$8&gt;0,CalcI!$I$8&gt;0)</f>
        <v>0</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0</v>
      </c>
    </row>
    <row r="53" spans="2:5" x14ac:dyDescent="0.3">
      <c r="B53" s="105" t="s">
        <v>846</v>
      </c>
      <c r="C53" s="108">
        <v>28</v>
      </c>
      <c r="D53" s="170" t="str">
        <f>VLOOKUP($C53,Language!$D$5:$E$100,2,0)</f>
        <v>Algeria</v>
      </c>
      <c r="E53" s="521" t="b">
        <f>OR(CalcJ!$K$6&gt;0,CalcJ!$I$6&gt;0)</f>
        <v>0</v>
      </c>
    </row>
    <row r="54" spans="2:5" x14ac:dyDescent="0.3">
      <c r="B54" s="105" t="s">
        <v>847</v>
      </c>
      <c r="C54" s="111">
        <v>24</v>
      </c>
      <c r="D54" s="170" t="str">
        <f>VLOOKUP($C54,Language!$D$5:$E$100,2,0)</f>
        <v>Austria</v>
      </c>
      <c r="E54" s="521" t="b">
        <f>OR(CalcJ!$K$7&gt;0,CalcJ!$I$7&gt;0)</f>
        <v>0</v>
      </c>
    </row>
    <row r="55" spans="2:5" x14ac:dyDescent="0.3">
      <c r="B55" s="105" t="s">
        <v>1054</v>
      </c>
      <c r="C55" s="360">
        <v>63</v>
      </c>
      <c r="D55" s="170" t="str">
        <f>VLOOKUP($C55,Language!$D$5:$E$100,2,0)</f>
        <v>Jordan</v>
      </c>
      <c r="E55" s="521" t="b">
        <f>OR(CalcJ!$K$8&gt;0,CalcJ!$I$8&gt;0)</f>
        <v>0</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0</v>
      </c>
      <c r="M69" s="530" t="str">
        <f>M101</f>
        <v>3-CEFHI</v>
      </c>
      <c r="N69" s="531" t="str">
        <f>IF(Distinctness!$G$17&gt;0,INDEX(ThirdPlaced!$C$4:$C$15,MATCH(O69,ThirdPlaced!$I$4:$I$15),0),"")</f>
        <v>Ivory Coast</v>
      </c>
      <c r="O69" s="532" t="str">
        <f>IFERROR(VLOOKUP(ThirdPlaced!$I$30,AssignThird!$C$8:$K$502,2,0),"")</f>
        <v>E</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0</v>
      </c>
      <c r="M70" s="534" t="str">
        <f t="shared" ref="M70:M75" si="0">M102</f>
        <v>3-EFGIJ</v>
      </c>
      <c r="N70" s="535" t="str">
        <f>IF(Distinctness!$G$17&gt;0,INDEX(ThirdPlaced!$C$4:$C$15,MATCH(O70,ThirdPlaced!$I$4:$I$15),0),"")</f>
        <v>IR Iran</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0</v>
      </c>
      <c r="M71" s="534" t="str">
        <f t="shared" si="0"/>
        <v>3-BEFIJ</v>
      </c>
      <c r="N71" s="535" t="str">
        <f>IF(Distinctness!$G$17&gt;0,INDEX(ThirdPlaced!$C$4:$C$15,MATCH(O71,ThirdPlaced!$I$4:$I$15),0),"")</f>
        <v>Switzerland</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0</v>
      </c>
      <c r="M72" s="534" t="str">
        <f t="shared" si="0"/>
        <v>3-ABCDF</v>
      </c>
      <c r="N72" s="535" t="str">
        <f>IF(Distinctness!$G$17&gt;0,INDEX(ThirdPlaced!$C$4:$C$15,MATCH(O72,ThirdPlaced!$I$4:$I$15),0),"")</f>
        <v>Australia</v>
      </c>
      <c r="O72" s="536" t="str">
        <f>IFERROR(VLOOKUP(ThirdPlaced!$I$30,AssignThird!$C$8:$K$502,5,0),"")</f>
        <v>D</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Austria</v>
      </c>
      <c r="O73" s="536" t="str">
        <f>IFERROR(VLOOKUP(ThirdPlaced!$I$30,AssignThird!$C$8:$K$502,6,0),"")</f>
        <v>J</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0</v>
      </c>
      <c r="M74" s="534" t="str">
        <f t="shared" si="0"/>
        <v>3-CDFGH</v>
      </c>
      <c r="N74" s="535" t="str">
        <f>IF(Distinctness!$G$17&gt;0,INDEX(ThirdPlaced!$C$4:$C$15,MATCH(O74,ThirdPlaced!$I$4:$I$15),0),"")</f>
        <v>Sweden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Iraq</v>
      </c>
      <c r="O75" s="536" t="str">
        <f>IFERROR(VLOOKUP(ThirdPlaced!$I$30,AssignThird!$C$8:$K$502,8,0),"")</f>
        <v>I</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Bosnia/Herzeg.</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
      </c>
      <c r="J78" s="86" t="str">
        <f t="shared" ref="J78:J92" si="2">VLOOKUP(D78,$M$77:$N$108,2,0)</f>
        <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
      </c>
      <c r="J79" s="86" t="str">
        <f t="shared" si="2"/>
        <v/>
      </c>
      <c r="K79" s="168">
        <v>4</v>
      </c>
      <c r="M79" s="525" t="s">
        <v>3</v>
      </c>
      <c r="N79" s="526" t="str">
        <f>'World Cup'!$E$42</f>
        <v>Canada</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
      </c>
      <c r="J80" s="86" t="str">
        <f t="shared" si="2"/>
        <v/>
      </c>
      <c r="K80" s="168">
        <v>2</v>
      </c>
      <c r="M80" s="525" t="s">
        <v>9</v>
      </c>
      <c r="N80" s="526" t="str">
        <f>'World Cup'!$E$43</f>
        <v>Bosnia/Herzeg.</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
      </c>
      <c r="K81" s="168">
        <v>6</v>
      </c>
      <c r="M81" s="525" t="s">
        <v>4</v>
      </c>
      <c r="N81" s="526" t="str">
        <f>'World Cup'!$H$42</f>
        <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
      </c>
      <c r="J82" s="86" t="str">
        <f t="shared" si="2"/>
        <v/>
      </c>
      <c r="K82" s="168">
        <v>5</v>
      </c>
      <c r="M82" s="525" t="s">
        <v>10</v>
      </c>
      <c r="N82" s="526" t="str">
        <f>'World Cup'!$H$43</f>
        <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
      </c>
      <c r="K85" s="168">
        <v>10</v>
      </c>
      <c r="M85" s="525" t="s">
        <v>6</v>
      </c>
      <c r="N85" s="526" t="str">
        <f>'World Cup'!$N$42</f>
        <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25" t="s">
        <v>12</v>
      </c>
      <c r="N86" s="526" t="str">
        <f>'World Cup'!$N$43</f>
        <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25" t="s">
        <v>13</v>
      </c>
      <c r="N88" s="526" t="str">
        <f>'World Cup'!$Q$43</f>
        <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Canada</v>
      </c>
      <c r="J89" s="86" t="str">
        <f t="shared" si="2"/>
        <v/>
      </c>
      <c r="K89" s="168">
        <v>13</v>
      </c>
      <c r="M89" s="525" t="s">
        <v>93</v>
      </c>
      <c r="N89" s="526" t="str">
        <f>'World Cup'!$T$42</f>
        <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25" t="s">
        <v>94</v>
      </c>
      <c r="N90" s="526" t="str">
        <f>'World Cup'!$T$43</f>
        <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
      </c>
      <c r="J92" s="86" t="str">
        <f t="shared" si="2"/>
        <v/>
      </c>
      <c r="K92" s="168">
        <v>14</v>
      </c>
      <c r="M92" s="527" t="s">
        <v>97</v>
      </c>
      <c r="N92" s="528" t="str">
        <f>'World Cup'!$W$43</f>
        <v/>
      </c>
    </row>
    <row r="93" spans="2:14" x14ac:dyDescent="0.3">
      <c r="B93" s="57" t="s">
        <v>566</v>
      </c>
      <c r="C93" s="71"/>
      <c r="D93" s="71"/>
      <c r="E93" s="42"/>
      <c r="F93" s="43"/>
      <c r="G93" s="153"/>
      <c r="H93" s="43"/>
      <c r="I93" s="43"/>
      <c r="J93" s="43"/>
      <c r="K93" s="80"/>
      <c r="M93" s="523" t="s">
        <v>855</v>
      </c>
      <c r="N93" s="524" t="str">
        <f>'World Cup'!$Z$42</f>
        <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
      </c>
    </row>
    <row r="102" spans="2:25" x14ac:dyDescent="0.3">
      <c r="B102" s="57" t="s">
        <v>133</v>
      </c>
      <c r="C102" s="71"/>
      <c r="D102" s="71"/>
      <c r="E102" s="42"/>
      <c r="F102" s="43"/>
      <c r="G102" s="153"/>
      <c r="H102" s="43"/>
      <c r="I102" s="43"/>
      <c r="J102" s="43"/>
      <c r="K102" s="81"/>
      <c r="M102" s="525" t="str">
        <f>AssignThird!$E$4</f>
        <v>3-EFGIJ</v>
      </c>
      <c r="N102" s="526" t="str">
        <f t="shared" ref="N102:N108" si="3">IF(L70,N70,"")</f>
        <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Switzerland</v>
      </c>
      <c r="D5" s="22">
        <f>CalcB!$E$24</f>
        <v>0</v>
      </c>
      <c r="E5" s="22">
        <f t="shared" ref="E5:E15" si="1">F5-G5</f>
        <v>0</v>
      </c>
      <c r="F5" s="22">
        <f>CalcB!$F$24</f>
        <v>0</v>
      </c>
      <c r="G5" s="22">
        <f>CalcB!$G$24</f>
        <v>0</v>
      </c>
      <c r="H5" s="457">
        <f t="shared" si="0"/>
        <v>500000.00008099998</v>
      </c>
      <c r="I5" s="22" t="s">
        <v>20</v>
      </c>
      <c r="J5" s="22"/>
      <c r="K5" s="22">
        <f>SUMIFS(FairPlay!$C$6:$C$27,FairPlay!$B$6:$B$27,$C5)+SUMIFS(FairPlay!$F$6:$F$27,FairPlay!$E$6:$E$27,$C5)+SUMIFS(FairPlay!$I$6:$I$27,FairPlay!$H$6:$H$27,$C5)</f>
        <v>0</v>
      </c>
      <c r="L5" s="22">
        <f>100-INDEX(Language!$D$5:$D$100,MATCH($C5,Language!$E$5:$E$100,0),1)</f>
        <v>81</v>
      </c>
      <c r="R5" s="725" t="s">
        <v>1797</v>
      </c>
      <c r="S5" s="726">
        <v>1000</v>
      </c>
    </row>
    <row r="6" spans="1:19" x14ac:dyDescent="0.3">
      <c r="A6" s="22"/>
      <c r="B6" s="22" t="s">
        <v>28</v>
      </c>
      <c r="C6" t="str">
        <f>CalcC!$D$24</f>
        <v>Haiti</v>
      </c>
      <c r="D6" s="22">
        <f>CalcC!$E$24</f>
        <v>0</v>
      </c>
      <c r="E6" s="22">
        <f t="shared" si="1"/>
        <v>0</v>
      </c>
      <c r="F6" s="22">
        <f>CalcC!$F$24</f>
        <v>0</v>
      </c>
      <c r="G6" s="22">
        <f>CalcC!$G$24</f>
        <v>0</v>
      </c>
      <c r="H6" s="457">
        <f t="shared" si="0"/>
        <v>500000.00001700001</v>
      </c>
      <c r="I6" s="22" t="s">
        <v>21</v>
      </c>
      <c r="J6" s="22"/>
      <c r="K6" s="22">
        <f>SUMIFS(FairPlay!$C$6:$C$27,FairPlay!$B$6:$B$27,$C6)+SUMIFS(FairPlay!$F$6:$F$27,FairPlay!$E$6:$E$27,$C6)+SUMIFS(FairPlay!$I$6:$I$27,FairPlay!$H$6:$H$27,$C6)</f>
        <v>0</v>
      </c>
      <c r="L6" s="22">
        <f>100-INDEX(Language!$D$5:$D$100,MATCH($C6,Language!$E$5:$E$100,0),1)</f>
        <v>17</v>
      </c>
      <c r="R6" s="725" t="s">
        <v>1796</v>
      </c>
      <c r="S6" s="726">
        <v>1</v>
      </c>
    </row>
    <row r="7" spans="1:19" x14ac:dyDescent="0.3">
      <c r="A7" s="22"/>
      <c r="B7" s="22" t="s">
        <v>29</v>
      </c>
      <c r="C7" t="str">
        <f>CalcD!$D$24</f>
        <v>Australia</v>
      </c>
      <c r="D7" s="22">
        <f>CalcD!$E$24</f>
        <v>0</v>
      </c>
      <c r="E7" s="22">
        <f t="shared" si="1"/>
        <v>0</v>
      </c>
      <c r="F7" s="22">
        <f>CalcD!$F$24</f>
        <v>0</v>
      </c>
      <c r="G7" s="22">
        <f>CalcD!$G$24</f>
        <v>0</v>
      </c>
      <c r="H7" s="457">
        <f t="shared" si="0"/>
        <v>500000.00007299997</v>
      </c>
      <c r="I7" s="22" t="s">
        <v>25</v>
      </c>
      <c r="J7" s="22"/>
      <c r="K7" s="22">
        <f>SUMIFS(FairPlay!$C$6:$C$27,FairPlay!$B$6:$B$27,$C7)+SUMIFS(FairPlay!$F$6:$F$27,FairPlay!$E$6:$E$27,$C7)+SUMIFS(FairPlay!$I$6:$I$27,FairPlay!$H$6:$H$27,$C7)</f>
        <v>0</v>
      </c>
      <c r="L7" s="22">
        <f>100-INDEX(Language!$D$5:$D$100,MATCH($C7,Language!$E$5:$E$100,0),1)</f>
        <v>73</v>
      </c>
      <c r="R7" s="725" t="s">
        <v>1799</v>
      </c>
      <c r="S7" s="726">
        <v>1E-3</v>
      </c>
    </row>
    <row r="8" spans="1:19" x14ac:dyDescent="0.3">
      <c r="A8" s="22"/>
      <c r="B8" s="22" t="s">
        <v>1111</v>
      </c>
      <c r="C8" t="str">
        <f>CalcE!$D$24</f>
        <v>Ivory Coast</v>
      </c>
      <c r="D8" s="22">
        <f>CalcE!$E$24</f>
        <v>0</v>
      </c>
      <c r="E8" s="22">
        <f t="shared" si="1"/>
        <v>0</v>
      </c>
      <c r="F8" s="22">
        <f>CalcE!$F$24</f>
        <v>0</v>
      </c>
      <c r="G8" s="22">
        <f>CalcE!$G$24</f>
        <v>0</v>
      </c>
      <c r="H8" s="457">
        <f t="shared" si="0"/>
        <v>500000.00006599998</v>
      </c>
      <c r="I8" s="22" t="s">
        <v>22</v>
      </c>
      <c r="J8" s="22"/>
      <c r="K8" s="22">
        <f>SUMIFS(FairPlay!$C$6:$C$27,FairPlay!$B$6:$B$27,$C8)+SUMIFS(FairPlay!$F$6:$F$27,FairPlay!$E$6:$E$27,$C8)+SUMIFS(FairPlay!$I$6:$I$27,FairPlay!$H$6:$H$27,$C8)</f>
        <v>0</v>
      </c>
      <c r="L8" s="22">
        <f>100-INDEX(Language!$D$5:$D$100,MATCH($C8,Language!$E$5:$E$100,0),1)</f>
        <v>66</v>
      </c>
      <c r="R8" s="727" t="s">
        <v>1800</v>
      </c>
      <c r="S8" s="728">
        <v>9.9999999999999995E-7</v>
      </c>
    </row>
    <row r="9" spans="1:19" x14ac:dyDescent="0.3">
      <c r="A9" s="22"/>
      <c r="B9" s="22" t="s">
        <v>1112</v>
      </c>
      <c r="C9" t="str">
        <f>CalcF!$D$24</f>
        <v>Sweden</v>
      </c>
      <c r="D9" s="22">
        <f>CalcF!$E$24</f>
        <v>0</v>
      </c>
      <c r="E9" s="22">
        <f t="shared" si="1"/>
        <v>0</v>
      </c>
      <c r="F9" s="22">
        <f>CalcF!$F$24</f>
        <v>0</v>
      </c>
      <c r="G9" s="22">
        <f>CalcF!$G$24</f>
        <v>0</v>
      </c>
      <c r="H9" s="457">
        <f t="shared" si="0"/>
        <v>500000.00006200001</v>
      </c>
      <c r="I9" s="22" t="s">
        <v>23</v>
      </c>
      <c r="J9" s="22"/>
      <c r="K9" s="22">
        <f>SUMIFS(FairPlay!$C$6:$C$27,FairPlay!$B$6:$B$27,$C9)+SUMIFS(FairPlay!$F$6:$F$27,FairPlay!$E$6:$E$27,$C9)+SUMIFS(FairPlay!$I$6:$I$27,FairPlay!$H$6:$H$27,$C9)</f>
        <v>0</v>
      </c>
      <c r="L9" s="22">
        <f>100-INDEX(Language!$D$5:$D$100,MATCH($C9,Language!$E$5:$E$100,0),1)</f>
        <v>62</v>
      </c>
    </row>
    <row r="10" spans="1:19" x14ac:dyDescent="0.3">
      <c r="A10" s="22"/>
      <c r="B10" s="22" t="s">
        <v>1115</v>
      </c>
      <c r="C10" t="str">
        <f>CalcG!$D$24</f>
        <v>IR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x14ac:dyDescent="0.3">
      <c r="A11" s="22"/>
      <c r="B11" s="22" t="s">
        <v>1116</v>
      </c>
      <c r="C11" t="str">
        <f>CalcH!$D$24</f>
        <v>Saudi Arabia</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x14ac:dyDescent="0.3">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x14ac:dyDescent="0.3">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Switzerland</v>
      </c>
      <c r="D17" s="408">
        <f t="shared" si="2"/>
        <v>0</v>
      </c>
      <c r="E17" s="409">
        <f t="shared" si="2"/>
        <v>0</v>
      </c>
      <c r="F17" s="410">
        <f t="shared" si="2"/>
        <v>0</v>
      </c>
      <c r="G17" s="411">
        <f t="shared" si="2"/>
        <v>0</v>
      </c>
      <c r="H17" s="412">
        <f t="shared" ref="H17:H22" si="3">LARGE($H$4:$H$15,ROW(A1))</f>
        <v>500000.00008099998</v>
      </c>
      <c r="I17" s="413" t="str">
        <f t="shared" ref="I17:I22" si="4">INDEX(I$4:I$15,MATCH($H17,$H$4:$H$15,0))</f>
        <v>B</v>
      </c>
      <c r="J17" s="451"/>
      <c r="K17" s="409">
        <f t="array" ref="K17">SUM(IF($I$17:$I$24 &lt; $I17,1))</f>
        <v>0</v>
      </c>
      <c r="L17" s="409" t="str">
        <f>INDEX($I$17:$I$24,MATCH(ROW(A1)-1,$K$17:$K$24,0))</f>
        <v>B</v>
      </c>
      <c r="M17" s="408">
        <f>D17</f>
        <v>0</v>
      </c>
      <c r="N17" s="414">
        <f>F17</f>
        <v>0</v>
      </c>
      <c r="O17" s="415" t="s">
        <v>1113</v>
      </c>
      <c r="P17" s="416">
        <f>G17</f>
        <v>0</v>
      </c>
    </row>
    <row r="18" spans="2:16" x14ac:dyDescent="0.3">
      <c r="B18" s="417" t="s">
        <v>27</v>
      </c>
      <c r="C18" s="418" t="str">
        <f t="shared" si="2"/>
        <v>IR Iran</v>
      </c>
      <c r="D18" s="419">
        <f t="shared" si="2"/>
        <v>0</v>
      </c>
      <c r="E18" s="420">
        <f t="shared" si="2"/>
        <v>0</v>
      </c>
      <c r="F18" s="421">
        <f t="shared" si="2"/>
        <v>0</v>
      </c>
      <c r="G18" s="422">
        <f t="shared" si="2"/>
        <v>0</v>
      </c>
      <c r="H18" s="423">
        <f t="shared" si="3"/>
        <v>500000.00007900002</v>
      </c>
      <c r="I18" s="424" t="str">
        <f t="shared" si="4"/>
        <v>G</v>
      </c>
      <c r="J18" s="452"/>
      <c r="K18" s="420">
        <f t="array" ref="K18">SUM(IF($I$17:$I$24 &lt; $I18,1))</f>
        <v>4</v>
      </c>
      <c r="L18" s="420" t="str">
        <f>INDEX($I$17:$I$24,MATCH(ROW(A2)-1,$K$17:$K$24,0))</f>
        <v>D</v>
      </c>
      <c r="M18" s="419">
        <f t="shared" ref="M18:M22" si="5">D18</f>
        <v>0</v>
      </c>
      <c r="N18" s="425">
        <f t="shared" ref="N18:N22" si="6">F18</f>
        <v>0</v>
      </c>
      <c r="O18" s="426" t="s">
        <v>1113</v>
      </c>
      <c r="P18" s="427">
        <f t="shared" ref="P18:P22" si="7">G18</f>
        <v>0</v>
      </c>
    </row>
    <row r="19" spans="2:16" x14ac:dyDescent="0.3">
      <c r="B19" s="417" t="s">
        <v>28</v>
      </c>
      <c r="C19" s="418" t="str">
        <f t="shared" si="2"/>
        <v>Austria</v>
      </c>
      <c r="D19" s="419">
        <f t="shared" si="2"/>
        <v>0</v>
      </c>
      <c r="E19" s="420">
        <f t="shared" si="2"/>
        <v>0</v>
      </c>
      <c r="F19" s="421">
        <f t="shared" si="2"/>
        <v>0</v>
      </c>
      <c r="G19" s="422">
        <f t="shared" si="2"/>
        <v>0</v>
      </c>
      <c r="H19" s="423">
        <f t="shared" si="3"/>
        <v>500000.000076</v>
      </c>
      <c r="I19" s="424" t="str">
        <f t="shared" si="4"/>
        <v>J</v>
      </c>
      <c r="J19" s="452"/>
      <c r="K19" s="420">
        <f t="array" ref="K19">SUM(IF($I$17:$I$24 &lt; $I19,1))</f>
        <v>6</v>
      </c>
      <c r="L19" s="420" t="str">
        <f t="shared" ref="L19:L24" si="8">INDEX($I$17:$I$24,MATCH(ROW(A3)-1,$K$17:$K$24,0))</f>
        <v>E</v>
      </c>
      <c r="M19" s="419">
        <f t="shared" si="5"/>
        <v>0</v>
      </c>
      <c r="N19" s="425">
        <f t="shared" si="6"/>
        <v>0</v>
      </c>
      <c r="O19" s="426" t="s">
        <v>1113</v>
      </c>
      <c r="P19" s="427">
        <f t="shared" si="7"/>
        <v>0</v>
      </c>
    </row>
    <row r="20" spans="2:16" x14ac:dyDescent="0.3">
      <c r="B20" s="417" t="s">
        <v>29</v>
      </c>
      <c r="C20" s="418" t="str">
        <f t="shared" si="2"/>
        <v>Australia</v>
      </c>
      <c r="D20" s="419">
        <f t="shared" si="2"/>
        <v>0</v>
      </c>
      <c r="E20" s="420">
        <f t="shared" si="2"/>
        <v>0</v>
      </c>
      <c r="F20" s="421">
        <f t="shared" si="2"/>
        <v>0</v>
      </c>
      <c r="G20" s="422">
        <f t="shared" si="2"/>
        <v>0</v>
      </c>
      <c r="H20" s="423">
        <f t="shared" si="3"/>
        <v>500000.00007299997</v>
      </c>
      <c r="I20" s="424" t="str">
        <f t="shared" si="4"/>
        <v>D</v>
      </c>
      <c r="J20" s="452"/>
      <c r="K20" s="420">
        <f t="array" ref="K20">SUM(IF($I$17:$I$24 &lt; $I20,1))</f>
        <v>1</v>
      </c>
      <c r="L20" s="420" t="str">
        <f t="shared" si="8"/>
        <v>F</v>
      </c>
      <c r="M20" s="419">
        <f t="shared" si="5"/>
        <v>0</v>
      </c>
      <c r="N20" s="425">
        <f t="shared" si="6"/>
        <v>0</v>
      </c>
      <c r="O20" s="426" t="s">
        <v>1113</v>
      </c>
      <c r="P20" s="427">
        <f t="shared" si="7"/>
        <v>0</v>
      </c>
    </row>
    <row r="21" spans="2:16" x14ac:dyDescent="0.3">
      <c r="B21" s="417" t="s">
        <v>1111</v>
      </c>
      <c r="C21" s="418" t="str">
        <f t="shared" si="2"/>
        <v>Ivory Coast</v>
      </c>
      <c r="D21" s="419">
        <f t="shared" si="2"/>
        <v>0</v>
      </c>
      <c r="E21" s="420">
        <f t="shared" si="2"/>
        <v>0</v>
      </c>
      <c r="F21" s="421">
        <f t="shared" si="2"/>
        <v>0</v>
      </c>
      <c r="G21" s="422">
        <f t="shared" si="2"/>
        <v>0</v>
      </c>
      <c r="H21" s="423">
        <f t="shared" si="3"/>
        <v>500000.00006599998</v>
      </c>
      <c r="I21" s="424" t="str">
        <f t="shared" si="4"/>
        <v>E</v>
      </c>
      <c r="J21" s="452"/>
      <c r="K21" s="420">
        <f t="array" ref="K21">SUM(IF($I$17:$I$24 &lt; $I21,1))</f>
        <v>2</v>
      </c>
      <c r="L21" s="420" t="str">
        <f t="shared" si="8"/>
        <v>G</v>
      </c>
      <c r="M21" s="419">
        <f t="shared" si="5"/>
        <v>0</v>
      </c>
      <c r="N21" s="425">
        <f t="shared" si="6"/>
        <v>0</v>
      </c>
      <c r="O21" s="426" t="s">
        <v>1113</v>
      </c>
      <c r="P21" s="427">
        <f t="shared" si="7"/>
        <v>0</v>
      </c>
    </row>
    <row r="22" spans="2:16" x14ac:dyDescent="0.3">
      <c r="B22" s="440" t="s">
        <v>1112</v>
      </c>
      <c r="C22" s="441" t="str">
        <f t="shared" si="2"/>
        <v>Sweden</v>
      </c>
      <c r="D22" s="442">
        <f t="shared" si="2"/>
        <v>0</v>
      </c>
      <c r="E22" s="443">
        <f t="shared" si="2"/>
        <v>0</v>
      </c>
      <c r="F22" s="444">
        <f t="shared" si="2"/>
        <v>0</v>
      </c>
      <c r="G22" s="445">
        <f t="shared" si="2"/>
        <v>0</v>
      </c>
      <c r="H22" s="446">
        <f t="shared" si="3"/>
        <v>500000.00006200001</v>
      </c>
      <c r="I22" s="447" t="str">
        <f t="shared" si="4"/>
        <v>F</v>
      </c>
      <c r="J22" s="452"/>
      <c r="K22" s="420">
        <f t="array" ref="K22">SUM(IF($I$17:$I$24 &lt; $I22,1))</f>
        <v>3</v>
      </c>
      <c r="L22" s="420" t="str">
        <f t="shared" si="8"/>
        <v>I</v>
      </c>
      <c r="M22" s="442">
        <f t="shared" si="5"/>
        <v>0</v>
      </c>
      <c r="N22" s="448">
        <f t="shared" si="6"/>
        <v>0</v>
      </c>
      <c r="O22" s="449" t="s">
        <v>1113</v>
      </c>
      <c r="P22" s="450">
        <f t="shared" si="7"/>
        <v>0</v>
      </c>
    </row>
    <row r="23" spans="2:16" x14ac:dyDescent="0.3">
      <c r="B23" s="440" t="s">
        <v>1115</v>
      </c>
      <c r="C23" s="441" t="str">
        <f t="shared" ref="C23:G28" si="9">INDEX(C$4:C$15,MATCH($H23,$H$4:$H$15,0))</f>
        <v>Uzbekistan</v>
      </c>
      <c r="D23" s="442">
        <f t="shared" si="9"/>
        <v>0</v>
      </c>
      <c r="E23" s="443">
        <f t="shared" si="9"/>
        <v>0</v>
      </c>
      <c r="F23" s="444">
        <f t="shared" si="9"/>
        <v>0</v>
      </c>
      <c r="G23" s="445">
        <f t="shared" si="9"/>
        <v>0</v>
      </c>
      <c r="H23" s="446">
        <f t="shared" ref="H23:H28" si="10">LARGE($H$4:$H$15,ROW(A7))</f>
        <v>500000.00004999997</v>
      </c>
      <c r="I23" s="447" t="str">
        <f t="shared" ref="I23:I28" si="11">INDEX(I$4:I$15,MATCH($H23,$H$4:$H$15,0))</f>
        <v>K</v>
      </c>
      <c r="K23" s="420">
        <f t="array" ref="K23">SUM(IF($I$17:$I$24 &lt; $I23,1))</f>
        <v>7</v>
      </c>
      <c r="L23" s="420" t="str">
        <f t="shared" si="8"/>
        <v>J</v>
      </c>
      <c r="M23" s="442">
        <f t="shared" ref="M23:M28" si="12">D23</f>
        <v>0</v>
      </c>
      <c r="N23" s="448">
        <f t="shared" ref="N23:N28" si="13">F23</f>
        <v>0</v>
      </c>
      <c r="O23" s="449" t="s">
        <v>1113</v>
      </c>
      <c r="P23" s="450">
        <f t="shared" ref="P23:P28" si="14">G23</f>
        <v>0</v>
      </c>
    </row>
    <row r="24" spans="2:16" x14ac:dyDescent="0.3">
      <c r="B24" s="440" t="s">
        <v>1116</v>
      </c>
      <c r="C24" s="441" t="str">
        <f t="shared" si="9"/>
        <v>Iraq</v>
      </c>
      <c r="D24" s="442">
        <f t="shared" si="9"/>
        <v>0</v>
      </c>
      <c r="E24" s="443">
        <f t="shared" si="9"/>
        <v>0</v>
      </c>
      <c r="F24" s="444">
        <f t="shared" si="9"/>
        <v>0</v>
      </c>
      <c r="G24" s="445">
        <f t="shared" si="9"/>
        <v>0</v>
      </c>
      <c r="H24" s="446">
        <f t="shared" si="10"/>
        <v>500000.00004299998</v>
      </c>
      <c r="I24" s="447" t="str">
        <f t="shared" si="11"/>
        <v>I</v>
      </c>
      <c r="K24" s="420">
        <f t="array" ref="K24">SUM(IF($I$17:$I$24 &lt; $I24,1))</f>
        <v>5</v>
      </c>
      <c r="L24" s="420" t="str">
        <f t="shared" si="8"/>
        <v>K</v>
      </c>
      <c r="M24" s="442">
        <f t="shared" si="12"/>
        <v>0</v>
      </c>
      <c r="N24" s="448">
        <f t="shared" si="13"/>
        <v>0</v>
      </c>
      <c r="O24" s="449" t="s">
        <v>1113</v>
      </c>
      <c r="P24" s="450">
        <f t="shared" si="14"/>
        <v>0</v>
      </c>
    </row>
    <row r="25" spans="2:16" x14ac:dyDescent="0.3">
      <c r="B25" s="440" t="s">
        <v>1117</v>
      </c>
      <c r="C25" s="441" t="str">
        <f t="shared" si="9"/>
        <v>Saudi Arabia</v>
      </c>
      <c r="D25" s="442">
        <f t="shared" si="9"/>
        <v>0</v>
      </c>
      <c r="E25" s="443">
        <f t="shared" si="9"/>
        <v>0</v>
      </c>
      <c r="F25" s="444">
        <f t="shared" si="9"/>
        <v>0</v>
      </c>
      <c r="G25" s="445">
        <f t="shared" si="9"/>
        <v>0</v>
      </c>
      <c r="H25" s="446">
        <f t="shared" si="10"/>
        <v>500000.00003900001</v>
      </c>
      <c r="I25" s="447" t="str">
        <f t="shared" si="11"/>
        <v>H</v>
      </c>
      <c r="L25" s="25"/>
      <c r="M25" s="442">
        <f t="shared" si="12"/>
        <v>0</v>
      </c>
      <c r="N25" s="448">
        <f t="shared" si="13"/>
        <v>0</v>
      </c>
      <c r="O25" s="449" t="s">
        <v>1113</v>
      </c>
      <c r="P25" s="450">
        <f t="shared" si="14"/>
        <v>0</v>
      </c>
    </row>
    <row r="26" spans="2:16" x14ac:dyDescent="0.3">
      <c r="B26" s="440" t="s">
        <v>1118</v>
      </c>
      <c r="C26" s="441" t="str">
        <f t="shared" si="9"/>
        <v>Ghana</v>
      </c>
      <c r="D26" s="442">
        <f t="shared" si="9"/>
        <v>0</v>
      </c>
      <c r="E26" s="443">
        <f t="shared" si="9"/>
        <v>0</v>
      </c>
      <c r="F26" s="444">
        <f t="shared" si="9"/>
        <v>0</v>
      </c>
      <c r="G26" s="445">
        <f t="shared" si="9"/>
        <v>0</v>
      </c>
      <c r="H26" s="446">
        <f t="shared" si="10"/>
        <v>500000.00002600002</v>
      </c>
      <c r="I26" s="447" t="str">
        <f t="shared" si="11"/>
        <v>L</v>
      </c>
      <c r="L26" s="25"/>
      <c r="M26" s="442">
        <f t="shared" si="12"/>
        <v>0</v>
      </c>
      <c r="N26" s="448">
        <f t="shared" si="13"/>
        <v>0</v>
      </c>
      <c r="O26" s="449" t="s">
        <v>1113</v>
      </c>
      <c r="P26" s="450">
        <f t="shared" si="14"/>
        <v>0</v>
      </c>
    </row>
    <row r="27" spans="2:16" x14ac:dyDescent="0.3">
      <c r="B27" s="440" t="s">
        <v>1119</v>
      </c>
      <c r="C27" s="441" t="str">
        <f t="shared" si="9"/>
        <v>Haiti</v>
      </c>
      <c r="D27" s="442">
        <f t="shared" si="9"/>
        <v>0</v>
      </c>
      <c r="E27" s="443">
        <f t="shared" si="9"/>
        <v>0</v>
      </c>
      <c r="F27" s="444">
        <f t="shared" si="9"/>
        <v>0</v>
      </c>
      <c r="G27" s="445">
        <f t="shared" si="9"/>
        <v>0</v>
      </c>
      <c r="H27" s="446">
        <f t="shared" si="10"/>
        <v>500000.00001700001</v>
      </c>
      <c r="I27" s="447" t="str">
        <f t="shared" si="11"/>
        <v>C</v>
      </c>
      <c r="L27" s="25"/>
      <c r="M27" s="442">
        <f t="shared" si="12"/>
        <v>0</v>
      </c>
      <c r="N27" s="448">
        <f t="shared" si="13"/>
        <v>0</v>
      </c>
      <c r="O27" s="449" t="s">
        <v>1113</v>
      </c>
      <c r="P27" s="450">
        <f t="shared" si="14"/>
        <v>0</v>
      </c>
    </row>
    <row r="28" spans="2:16" ht="15" thickBot="1" x14ac:dyDescent="0.35">
      <c r="B28" s="428" t="s">
        <v>1120</v>
      </c>
      <c r="C28" s="429" t="str">
        <f t="shared" si="9"/>
        <v>Czech Rep.</v>
      </c>
      <c r="D28" s="430">
        <f t="shared" si="9"/>
        <v>0</v>
      </c>
      <c r="E28" s="431">
        <f t="shared" si="9"/>
        <v>-1</v>
      </c>
      <c r="F28" s="432">
        <f t="shared" si="9"/>
        <v>1</v>
      </c>
      <c r="G28" s="433">
        <f t="shared" si="9"/>
        <v>2</v>
      </c>
      <c r="H28" s="434">
        <f t="shared" si="10"/>
        <v>499001.00005899998</v>
      </c>
      <c r="I28" s="435" t="str">
        <f t="shared" si="11"/>
        <v>A</v>
      </c>
      <c r="J28" s="403"/>
      <c r="K28" s="403"/>
      <c r="L28" s="453"/>
      <c r="M28" s="430">
        <f t="shared" si="12"/>
        <v>0</v>
      </c>
      <c r="N28" s="436">
        <f t="shared" si="13"/>
        <v>1</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BDEFGIJK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1</v>
      </c>
      <c r="E4" s="22" t="str">
        <f>IF($C4,$B4,"")</f>
        <v/>
      </c>
      <c r="F4" s="22">
        <f>LEN($E4)</f>
        <v>0</v>
      </c>
      <c r="G4" s="22">
        <f>SUM($F$4:$F4)</f>
        <v>0</v>
      </c>
      <c r="H4" t="str">
        <f>IF($E4&lt;&gt;"",$E4&amp;IF($G4=$G$15,"",IF($G4&lt;$G$15-1,", ",Language!$E$191)),"")</f>
        <v/>
      </c>
      <c r="J4" s="957" t="str">
        <f>Language!$E$189&amp;"  "&amp;$K$13&amp;"."</f>
        <v>Groups with fair play valuation:  B.</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B</v>
      </c>
      <c r="J5" s="959" t="str">
        <f>Language!$E$190</f>
        <v>The placement has been clarified in all groups.</v>
      </c>
      <c r="K5" s="959"/>
      <c r="L5" s="959"/>
      <c r="M5" s="959"/>
      <c r="N5" s="959"/>
    </row>
    <row r="6" spans="2:14" x14ac:dyDescent="0.3">
      <c r="B6" s="22" t="s">
        <v>21</v>
      </c>
      <c r="C6" s="22" t="b">
        <f>CalcC!$AU$14</f>
        <v>0</v>
      </c>
      <c r="E6" s="22" t="str">
        <f t="shared" si="0"/>
        <v/>
      </c>
      <c r="F6" s="22">
        <f t="shared" si="1"/>
        <v>0</v>
      </c>
      <c r="G6" s="22">
        <f>SUM($F$4:$F6)</f>
        <v>1</v>
      </c>
      <c r="H6" t="str">
        <f>IF($E6&lt;&gt;"",$E6&amp;IF($G6=$G$15,"",IF($G6&lt;$G$15-1,", ",Language!$E$191)),"")</f>
        <v/>
      </c>
    </row>
    <row r="7" spans="2:14" x14ac:dyDescent="0.3">
      <c r="B7" s="22" t="s">
        <v>25</v>
      </c>
      <c r="C7" s="22" t="b">
        <f>CalcD!$AU$14</f>
        <v>0</v>
      </c>
      <c r="E7" s="22" t="str">
        <f t="shared" si="0"/>
        <v/>
      </c>
      <c r="F7" s="22">
        <f t="shared" si="1"/>
        <v>0</v>
      </c>
      <c r="G7" s="22">
        <f>SUM($F$4:$F7)</f>
        <v>1</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1</v>
      </c>
      <c r="H8" t="str">
        <f>IF($E8&lt;&gt;"",$E8&amp;IF($G8=$G$15,"",IF($G8&lt;$G$15-1,", ",Language!$E$191)),"")</f>
        <v/>
      </c>
      <c r="J8" s="46"/>
      <c r="K8" s="46"/>
      <c r="L8" s="46"/>
      <c r="M8" s="46"/>
      <c r="N8" s="46"/>
    </row>
    <row r="9" spans="2:14" x14ac:dyDescent="0.3">
      <c r="B9" s="22" t="s">
        <v>23</v>
      </c>
      <c r="C9" s="22" t="b">
        <f>CalcF!$AU$14</f>
        <v>0</v>
      </c>
      <c r="E9" s="22" t="str">
        <f t="shared" si="0"/>
        <v/>
      </c>
      <c r="F9" s="22">
        <f t="shared" si="1"/>
        <v>0</v>
      </c>
      <c r="G9" s="22">
        <f>SUM($F$4:$F9)</f>
        <v>1</v>
      </c>
      <c r="H9" t="str">
        <f>IF($E9&lt;&gt;"",$E9&amp;IF($G9=$G$15,"",IF($G9&lt;$G$15-1,", ",Language!$E$191)),"")</f>
        <v/>
      </c>
    </row>
    <row r="10" spans="2:14" x14ac:dyDescent="0.3">
      <c r="B10" s="22" t="s">
        <v>272</v>
      </c>
      <c r="C10" s="22" t="b">
        <f>CalcG!$AU$14</f>
        <v>0</v>
      </c>
      <c r="E10" s="22" t="str">
        <f t="shared" si="0"/>
        <v/>
      </c>
      <c r="F10" s="22">
        <f t="shared" si="1"/>
        <v>0</v>
      </c>
      <c r="G10" s="22">
        <f>SUM($F$4:$F10)</f>
        <v>1</v>
      </c>
      <c r="H10" t="str">
        <f>IF($E10&lt;&gt;"",$E10&amp;IF($G10=$G$15,"",IF($G10&lt;$G$15-1,", ",Language!$E$191)),"")</f>
        <v/>
      </c>
    </row>
    <row r="11" spans="2:14" x14ac:dyDescent="0.3">
      <c r="B11" s="22" t="s">
        <v>31</v>
      </c>
      <c r="C11" s="22" t="b">
        <f>CalcH!$AU$14</f>
        <v>0</v>
      </c>
      <c r="E11" s="22" t="str">
        <f t="shared" si="0"/>
        <v/>
      </c>
      <c r="F11" s="22">
        <f t="shared" si="1"/>
        <v>0</v>
      </c>
      <c r="G11" s="22">
        <f>SUM($F$4:$F11)</f>
        <v>1</v>
      </c>
      <c r="H11" t="str">
        <f>IF($E11&lt;&gt;"",$E11&amp;IF($G11=$G$15,"",IF($G11&lt;$G$15-1,", ",Language!$E$191)),"")</f>
        <v/>
      </c>
    </row>
    <row r="12" spans="2:14" x14ac:dyDescent="0.3">
      <c r="B12" s="22" t="s">
        <v>32</v>
      </c>
      <c r="C12" s="22" t="b">
        <f>CalcI!$AU$14</f>
        <v>0</v>
      </c>
      <c r="E12" s="22" t="str">
        <f t="shared" si="0"/>
        <v/>
      </c>
      <c r="F12" s="22">
        <f t="shared" si="1"/>
        <v>0</v>
      </c>
      <c r="G12" s="22">
        <f>SUM($F$4:$F12)</f>
        <v>1</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1</v>
      </c>
      <c r="H13" t="str">
        <f>IF($E13&lt;&gt;"",$E13&amp;IF($G13=$G$15,"",IF($G13&lt;$G$15-1,", ",Language!$E$191)),"")</f>
        <v/>
      </c>
      <c r="J13" s="29" t="s">
        <v>194</v>
      </c>
      <c r="K13" s="960" t="str">
        <f>$H$4&amp;$H$5&amp;$H$6&amp;$H$7&amp;$H$8&amp;$H$9&amp;$H$10&amp;$H$11&amp;$H$12&amp;$H$13&amp;$H$14&amp;$H$15</f>
        <v>B</v>
      </c>
      <c r="L13" s="961"/>
      <c r="M13" s="961"/>
      <c r="N13" s="961"/>
    </row>
    <row r="14" spans="2:14" x14ac:dyDescent="0.3">
      <c r="B14" s="22" t="s">
        <v>33</v>
      </c>
      <c r="C14" s="22" t="b">
        <f>CalcK!$AU$14</f>
        <v>0</v>
      </c>
      <c r="E14" s="22" t="str">
        <f t="shared" si="0"/>
        <v/>
      </c>
      <c r="F14" s="22">
        <f t="shared" si="1"/>
        <v>0</v>
      </c>
      <c r="G14" s="22">
        <f>SUM($F$4:$F14)</f>
        <v>1</v>
      </c>
      <c r="H14" t="str">
        <f>IF($E14&lt;&gt;"",$E14&amp;IF($G14=$G$15,"",IF($G14&lt;$G$15-1,", ",Language!$E$191)),"")</f>
        <v/>
      </c>
    </row>
    <row r="15" spans="2:14" x14ac:dyDescent="0.3">
      <c r="B15" s="22" t="s">
        <v>34</v>
      </c>
      <c r="C15" s="22" t="b">
        <f>CalcL!$AU$14</f>
        <v>0</v>
      </c>
      <c r="E15" s="22" t="str">
        <f t="shared" si="0"/>
        <v/>
      </c>
      <c r="F15" s="22">
        <f t="shared" si="1"/>
        <v>0</v>
      </c>
      <c r="G15" s="22">
        <f>SUM($F$4:$F15)</f>
        <v>1</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4</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Switzerland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99</v>
      </c>
      <c r="BB8" s="780">
        <f t="shared" si="5"/>
        <v>3</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1</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Canada</v>
      </c>
      <c r="BF13" s="609" t="str">
        <v>Bosnia/Herzeg.</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1</v>
      </c>
      <c r="AZ14" s="615" t="str">
        <f t="array" ref="AZ14:AZ17">IFERROR(VLOOKUP($BA$5:$BA$8,$C$14:$D$17,2,0),"")</f>
        <v>Canada</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1 - 1</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2</v>
      </c>
      <c r="F15" s="594">
        <f t="shared" ref="F15:F17" si="20">G15+ROW()/1000+(D15="")*10</f>
        <v>2.0150000000000001</v>
      </c>
      <c r="G15" s="722">
        <f t="shared" ref="G15:G17" si="21">AS15</f>
        <v>2</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1</v>
      </c>
      <c r="AS15" s="599">
        <f t="shared" si="17"/>
        <v>2</v>
      </c>
      <c r="AT15" s="598"/>
      <c r="AV15" s="628" t="b">
        <f t="shared" ref="AV15:AV17" si="26">AND($AU6,$AV6)</f>
        <v>1</v>
      </c>
      <c r="AX15" s="697"/>
      <c r="AY15" s="628">
        <f t="shared" ref="AY15:AY17" si="27">IFERROR(INDEX($E$14:$E$17,IF($I15=$AX$14,$C15,99)),0)</f>
        <v>2</v>
      </c>
      <c r="AZ15" s="616" t="str">
        <v>Bosnia/Herzeg.</v>
      </c>
      <c r="BA15" s="605">
        <v>1</v>
      </c>
      <c r="BB15" s="605">
        <v>0</v>
      </c>
      <c r="BC15" s="621">
        <v>1</v>
      </c>
      <c r="BE15" s="626" t="str">
        <v>1 - 1</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4</v>
      </c>
      <c r="F16" s="594">
        <f t="shared" si="20"/>
        <v>4.016</v>
      </c>
      <c r="G16" s="722">
        <f t="shared" si="21"/>
        <v>4</v>
      </c>
      <c r="H16" s="598"/>
      <c r="I16" s="603">
        <f t="shared" si="22"/>
        <v>3</v>
      </c>
      <c r="J16" s="703"/>
      <c r="K16" s="586">
        <f t="array" ref="K16">SUMPRODUCT($U$22:$U$27*($P$22:$P$27=$D16)*ISNUMBER(MATCH($Q$22:$Q$27,IF($I$14:$I$17=$I16,$D$14:$D$17,""),0)))+SUMPRODUCT($V$22:$V$27*($Q$22:$Q$27=$D16)*ISNUMBER(MATCH($P$22:$P$27,IF($I$14:$I$17=$I16,$D$14:$D$17,""),0)))</f>
        <v>0</v>
      </c>
      <c r="L16" s="586">
        <f>COUNTIFS($K$14:$K$17,"&gt;"&amp;$K16,$I$14:$I$17,"="&amp;$I16)</f>
        <v>0</v>
      </c>
      <c r="M16" s="599">
        <f t="shared" si="10"/>
        <v>3</v>
      </c>
      <c r="N16" s="598"/>
      <c r="O16" s="586">
        <f t="array" ref="O16">SUMPRODUCT($W$22:$W$27*($P$22:$P$27=$D16)*ISNUMBER(MATCH($Q$22:$Q$27,IF($I$14:$I$17=$I16,$D$14:$D$17,""),0)))+SUMPRODUCT(-$W$22:$W$27*($Q$22:$Q$27=$D16)*ISNUMBER(MATCH($P$22:$P$27,IF($I$14:$I$17=$I16,$D$14:$D$17,""),0)))</f>
        <v>0</v>
      </c>
      <c r="P16" s="586">
        <f>COUNTIFS($O$14:$O$17,"&gt;"&amp;$O16,$M$14:$M$17,"="&amp;$M16)</f>
        <v>0</v>
      </c>
      <c r="Q16" s="599">
        <f t="shared" si="11"/>
        <v>3</v>
      </c>
      <c r="R16" s="598"/>
      <c r="S16" s="586">
        <f t="array" ref="S16">SUMPRODUCT($X$22:$X$27*($P$22:$P$27=$D16)*ISNUMBER(MATCH($Q$22:$Q$27,IF($I$14:$I$17=$I16,$D$14:$D$17,""),0)))+SUMPRODUCT($Y$22:$Y$27*($Q$22:$Q$27=$D16)*ISNUMBER(MATCH($P$22:$P$27,IF($I$14:$I$17=$I16,$D$14:$D$17,""),0)))</f>
        <v>0</v>
      </c>
      <c r="T16" s="586">
        <f>COUNTIFS($S$14:$S$17,"&gt;"&amp;$S16,$Q$14:$Q$17,"="&amp;$Q16)</f>
        <v>0</v>
      </c>
      <c r="U16" s="599">
        <f t="shared" si="12"/>
        <v>3</v>
      </c>
      <c r="V16" s="703"/>
      <c r="W16" s="586">
        <f t="array" ref="W16">SUMPRODUCT($U$22:$U$27*($P$22:$P$27=$D16)*ISNUMBER(MATCH($Q$22:$Q$27,IF($U$14:$U$17=$U16,$D$14:$D$17,""),0)))+SUMPRODUCT($V$22:$V$27*($Q$22:$Q$27=$D16)*ISNUMBER(MATCH($P$22:$P$27,IF($U$14:$U$17=$U16,$D$14:$D$17,""),0)))</f>
        <v>0</v>
      </c>
      <c r="X16" s="586">
        <f>COUNTIFS($W$14:$W$17,"&gt;"&amp;$W16,$U$14:$U$17,"="&amp;$U16)</f>
        <v>0</v>
      </c>
      <c r="Y16" s="599">
        <f t="shared" si="13"/>
        <v>3</v>
      </c>
      <c r="Z16" s="598"/>
      <c r="AA16" s="586">
        <f t="array" ref="AA16">SUMPRODUCT($W$22:$W$27*($P$22:$P$27=$D16)*ISNUMBER(MATCH($Q$22:$Q$27,IF($U$14:$U$17=$U16,$D$14:$D$17,""),0)))+SUMPRODUCT(-$W$22:$W$27*($Q$22:$Q$27=$D16)*ISNUMBER(MATCH($P$22:$P$27,IF($U$14:$U$17=$U16,$D$14:$D$17,""),0)))</f>
        <v>0</v>
      </c>
      <c r="AB16" s="586">
        <f>COUNTIFS($AA$14:$AA$17,"&gt;"&amp;$AA16,$Y$14:$Y$17,"="&amp;$Y16)</f>
        <v>0</v>
      </c>
      <c r="AC16" s="599">
        <f t="shared" si="14"/>
        <v>3</v>
      </c>
      <c r="AD16" s="598"/>
      <c r="AE16" s="586">
        <f t="array" ref="AE16">SUMPRODUCT($X$22:$X$27*($P$22:$P$27=$D16)*ISNUMBER(MATCH($Q$22:$Q$27,IF($U$14:$U$17=$U16,$D$14:$D$17,""),0)))+SUMPRODUCT($Y$22:$Y$27*($Q$22:$Q$27=$D16)*ISNUMBER(MATCH($P$22:$P$27,IF($U$14:$U$17=$U16,$D$14:$D$17,""),0)))</f>
        <v>0</v>
      </c>
      <c r="AF16" s="586">
        <f>COUNTIFS($AE$14:$AE$17,"&gt;"&amp;$AE16,$AC$14:$AC$17,"="&amp;$AC16)</f>
        <v>0</v>
      </c>
      <c r="AG16" s="599">
        <f t="shared" si="15"/>
        <v>3</v>
      </c>
      <c r="AH16" s="703"/>
      <c r="AI16" s="605">
        <f>COUNTIFS($J$5:$J$8,"&gt;"&amp;$J7,$AG$14:$AG$17,"="&amp;$AG16)</f>
        <v>0</v>
      </c>
      <c r="AJ16" s="599">
        <f t="shared" si="23"/>
        <v>3</v>
      </c>
      <c r="AK16" s="598"/>
      <c r="AL16" s="605">
        <f>COUNTIFS($H$5:$H$8,"&gt;"&amp;$H7,$AJ$14:$AJ$17,"="&amp;$AJ16)</f>
        <v>0</v>
      </c>
      <c r="AM16" s="599">
        <f t="shared" si="24"/>
        <v>3</v>
      </c>
      <c r="AN16" s="598"/>
      <c r="AO16" s="605">
        <f>COUNTIFS($P$5:$P$8,"&gt;"&amp;$P7,$AM$14:$AM$17,"="&amp;$AM16)</f>
        <v>0</v>
      </c>
      <c r="AP16" s="599">
        <f t="shared" si="16"/>
        <v>3</v>
      </c>
      <c r="AQ16" s="598"/>
      <c r="AR16" s="605">
        <f t="shared" si="25"/>
        <v>1</v>
      </c>
      <c r="AS16" s="599">
        <f t="shared" si="17"/>
        <v>4</v>
      </c>
      <c r="AT16" s="598"/>
      <c r="AV16" s="628" t="b">
        <f t="shared" si="26"/>
        <v>0</v>
      </c>
      <c r="AX16" s="605"/>
      <c r="AY16" s="628">
        <f t="shared" si="27"/>
        <v>0</v>
      </c>
      <c r="AZ16" s="616" t="str">
        <v/>
      </c>
      <c r="BA16" s="605" t="str">
        <v/>
      </c>
      <c r="BB16" s="605" t="str">
        <v/>
      </c>
      <c r="BC16" s="621" t="str">
        <v/>
      </c>
      <c r="BE16" s="626" t="str">
        <v/>
      </c>
      <c r="BF16" s="628" t="str">
        <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Canada</v>
      </c>
      <c r="I21" s="637" t="str">
        <v>Bosnia/Herzeg.</v>
      </c>
      <c r="J21" s="637" t="str">
        <v>Switzerland</v>
      </c>
      <c r="K21" s="638" t="str">
        <v>Qatar</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Switzerland</v>
      </c>
      <c r="BH21" s="610" t="str">
        <v>Qatar</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Canada</v>
      </c>
      <c r="E22" s="709">
        <f>VLOOKUP($D22,$D$5:$K$8,8,0)</f>
        <v>1</v>
      </c>
      <c r="F22" s="642">
        <f>VLOOKUP($D22,$D$5:$K$8,5,0)</f>
        <v>1</v>
      </c>
      <c r="G22" s="710">
        <f>VLOOKUP($D22,$D$5:$K$8,6,0)</f>
        <v>1</v>
      </c>
      <c r="H22" s="641" t="str">
        <f t="array" ref="H22:K25">IFERROR(VLOOKUP($D$22:$D$25&amp;$H$21:$K$21,$Z$22:$AA$33,2,0),"")</f>
        <v/>
      </c>
      <c r="I22" s="642" t="str">
        <v>1 - 1</v>
      </c>
      <c r="J22" s="642" t="str">
        <v/>
      </c>
      <c r="K22" s="706" t="str">
        <v/>
      </c>
      <c r="L22" s="695" t="b">
        <f>OR($E22&gt;0,$G22&gt;0)</f>
        <v>1</v>
      </c>
      <c r="M22" s="695" t="b">
        <f t="array" ref="M22:M25">VLOOKUP($D$22:$D$25,$D$14:$AV$17,45,0)</f>
        <v>1</v>
      </c>
      <c r="N22" s="586">
        <f>VLOOKUP($D22,$D$5:$Q$8,14,0)</f>
        <v>30</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Bosnia/Herzeg.</v>
      </c>
      <c r="E23" s="704">
        <f t="shared" ref="E23:E25" si="36">VLOOKUP($D23,$D$5:$K$8,8,0)</f>
        <v>1</v>
      </c>
      <c r="F23" s="586">
        <f t="shared" ref="F23:F25" si="37">VLOOKUP($D23,$D$5:$K$8,5,0)</f>
        <v>1</v>
      </c>
      <c r="G23" s="711">
        <f t="shared" ref="G23:G25" si="38">VLOOKUP($D23,$D$5:$K$8,6,0)</f>
        <v>1</v>
      </c>
      <c r="H23" s="643" t="str">
        <v>1 - 1</v>
      </c>
      <c r="I23" s="644" t="str">
        <v/>
      </c>
      <c r="J23" s="586" t="str">
        <v/>
      </c>
      <c r="K23" s="707" t="str">
        <v/>
      </c>
      <c r="L23" s="695" t="b">
        <f t="shared" ref="L23:L25" si="39">OR($E23&gt;0,$G23&gt;0)</f>
        <v>1</v>
      </c>
      <c r="M23" s="695" t="b">
        <v>1</v>
      </c>
      <c r="N23" s="586">
        <f t="shared" ref="N23:N25" si="40">VLOOKUP($D23,$D$5:$Q$8,14,0)</f>
        <v>65</v>
      </c>
      <c r="O23" s="659" t="s">
        <v>27</v>
      </c>
      <c r="P23" s="685" t="str">
        <f>INDEX('World Cup'!$B$13:$AJ$38,6,1+(CODE($B$1)-65)*3)</f>
        <v>Qatar</v>
      </c>
      <c r="Q23" s="686" t="str">
        <f>INDEX('World Cup'!$B$13:$AJ$38,6,2+(CODE($B$1)-65)*3)</f>
        <v>Switzerland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QatarSwitzerland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Switzerland</v>
      </c>
      <c r="E24" s="704">
        <f t="shared" si="36"/>
        <v>0</v>
      </c>
      <c r="F24" s="586">
        <f t="shared" si="37"/>
        <v>0</v>
      </c>
      <c r="G24" s="711">
        <f t="shared" si="38"/>
        <v>0</v>
      </c>
      <c r="H24" s="643" t="str">
        <v/>
      </c>
      <c r="I24" s="586" t="str">
        <v/>
      </c>
      <c r="J24" s="644" t="str">
        <v/>
      </c>
      <c r="K24" s="707" t="str">
        <v/>
      </c>
      <c r="L24" s="695" t="b">
        <f t="shared" si="39"/>
        <v>0</v>
      </c>
      <c r="M24" s="695" t="b">
        <v>0</v>
      </c>
      <c r="N24" s="586">
        <f t="shared" si="40"/>
        <v>19</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4</v>
      </c>
      <c r="AZ24" s="616" t="str">
        <v>Switzerland</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Qatar</v>
      </c>
      <c r="E25" s="712">
        <f t="shared" si="36"/>
        <v>0</v>
      </c>
      <c r="F25" s="646">
        <f t="shared" si="37"/>
        <v>0</v>
      </c>
      <c r="G25" s="713">
        <f t="shared" si="38"/>
        <v>0</v>
      </c>
      <c r="H25" s="645" t="str">
        <v/>
      </c>
      <c r="I25" s="646" t="str">
        <v/>
      </c>
      <c r="J25" s="646" t="str">
        <v/>
      </c>
      <c r="K25" s="708" t="str">
        <v/>
      </c>
      <c r="L25" s="695" t="b">
        <f t="shared" si="39"/>
        <v>0</v>
      </c>
      <c r="M25" s="695" t="b">
        <v>0</v>
      </c>
      <c r="N25" s="586">
        <f t="shared" si="40"/>
        <v>55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Qatar</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Bosnia/Herzeg.</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
      </c>
      <c r="E96" s="484" t="str">
        <f>INDEX(Matches!$B$4:$J$113,MATCH($F96,Matches!$B$4:$B$113,0),9)</f>
        <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
      </c>
      <c r="E97" s="484" t="str">
        <f>INDEX(Matches!$B$4:$J$113,MATCH($F97,Matches!$B$4:$B$113,0),9)</f>
        <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
      </c>
      <c r="E98" s="484" t="str">
        <f>INDEX(Matches!$B$4:$J$113,MATCH($F98,Matches!$B$4:$B$113,0),9)</f>
        <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
      </c>
      <c r="E101" s="484" t="str">
        <f>INDEX(Matches!$B$4:$J$113,MATCH($F101,Matches!$B$4:$B$113,0),9)</f>
        <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Canada</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Morocco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83</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Brazil</v>
      </c>
      <c r="BF13" s="609" t="str">
        <v>Morocco</v>
      </c>
      <c r="BG13" s="609" t="str">
        <v>Haiti</v>
      </c>
      <c r="BH13" s="610" t="str">
        <v>Scotland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Brazil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Morocco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Haiti</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Scotland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Brazil</v>
      </c>
      <c r="I21" s="637" t="str">
        <v>Morocco</v>
      </c>
      <c r="J21" s="637" t="str">
        <v>Haiti</v>
      </c>
      <c r="K21" s="638" t="str">
        <v>Scotland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Brazil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6</v>
      </c>
      <c r="O22" s="647" t="s">
        <v>26</v>
      </c>
      <c r="P22" s="682" t="str">
        <f>INDEX('World Cup'!$B$13:$AJ$38,1,1+(CODE($B$1)-65)*3)</f>
        <v>Brazil</v>
      </c>
      <c r="Q22" s="683" t="str">
        <f>INDEX('World Cup'!$B$13:$AJ$38,1,2+(CODE($B$1)-65)*3)</f>
        <v>Morocco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BrazilMorocco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Morocco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v>
      </c>
      <c r="O23" s="659" t="s">
        <v>27</v>
      </c>
      <c r="P23" s="685" t="str">
        <f>INDEX('World Cup'!$B$13:$AJ$38,6,1+(CODE($B$1)-65)*3)</f>
        <v>Haiti</v>
      </c>
      <c r="Q23" s="686" t="str">
        <f>INDEX('World Cup'!$B$13:$AJ$38,6,2+(CODE($B$1)-65)*3)</f>
        <v>Scotland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HaitiScotland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Haiti</v>
      </c>
      <c r="E24" s="704">
        <f t="shared" si="36"/>
        <v>0</v>
      </c>
      <c r="F24" s="586">
        <f t="shared" si="37"/>
        <v>0</v>
      </c>
      <c r="G24" s="711">
        <f t="shared" si="38"/>
        <v>0</v>
      </c>
      <c r="H24" s="643" t="str">
        <v/>
      </c>
      <c r="I24" s="586" t="str">
        <v/>
      </c>
      <c r="J24" s="644" t="str">
        <v/>
      </c>
      <c r="K24" s="707" t="str">
        <v/>
      </c>
      <c r="L24" s="695" t="b">
        <f t="shared" si="39"/>
        <v>0</v>
      </c>
      <c r="M24" s="695" t="b">
        <v>0</v>
      </c>
      <c r="N24" s="586">
        <f t="shared" si="40"/>
        <v>83</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Scotland</v>
      </c>
      <c r="E25" s="712">
        <f t="shared" si="36"/>
        <v>0</v>
      </c>
      <c r="F25" s="646">
        <f t="shared" si="37"/>
        <v>0</v>
      </c>
      <c r="G25" s="713">
        <f t="shared" si="38"/>
        <v>0</v>
      </c>
      <c r="H25" s="645" t="str">
        <v/>
      </c>
      <c r="I25" s="646" t="str">
        <v/>
      </c>
      <c r="J25" s="646" t="str">
        <v/>
      </c>
      <c r="K25" s="708" t="str">
        <v/>
      </c>
      <c r="L25" s="695" t="b">
        <f t="shared" si="39"/>
        <v>0</v>
      </c>
      <c r="M25" s="695" t="b">
        <v>0</v>
      </c>
      <c r="N25" s="586">
        <f t="shared" si="40"/>
        <v>43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4</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1</v>
      </c>
      <c r="AV8" s="695" t="b">
        <v>0</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1</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Turkey</v>
      </c>
      <c r="BG13" s="609" t="str">
        <v>Australia</v>
      </c>
      <c r="BH13" s="610" t="str">
        <v>Paraguay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2</v>
      </c>
      <c r="AY14" s="628">
        <f>IFERROR(INDEX($E$14:$E$17,IF($I14=$AX$14,$C14,99)),0)</f>
        <v>0</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0</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2</v>
      </c>
      <c r="J15" s="703"/>
      <c r="K15" s="586">
        <f t="array" ref="K15">SUMPRODUCT($U$22:$U$27*($P$22:$P$27=$D15)*ISNUMBER(MATCH($Q$22:$Q$27,IF($I$14:$I$17=$I15,$D$14:$D$17,""),0)))+SUMPRODUCT($V$22:$V$27*($Q$22:$Q$27=$D15)*ISNUMBER(MATCH($P$22:$P$27,IF($I$14:$I$17=$I15,$D$14:$D$17,""),0)))</f>
        <v>0</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0</v>
      </c>
      <c r="T15" s="586">
        <f>COUNTIFS($S$14:$S$17,"&gt;"&amp;$S15,$Q$14:$Q$17,"="&amp;$Q15)</f>
        <v>0</v>
      </c>
      <c r="U15" s="599">
        <f t="shared" si="12"/>
        <v>2</v>
      </c>
      <c r="V15" s="703"/>
      <c r="W15" s="586">
        <f t="array" ref="W15">SUMPRODUCT($U$22:$U$27*($P$22:$P$27=$D15)*ISNUMBER(MATCH($Q$22:$Q$27,IF($U$14:$U$17=$U15,$D$14:$D$17,""),0)))+SUMPRODUCT($V$22:$V$27*($Q$22:$Q$27=$D15)*ISNUMBER(MATCH($P$22:$P$27,IF($U$14:$U$17=$U15,$D$14:$D$17,""),0)))</f>
        <v>0</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0</v>
      </c>
      <c r="AF15" s="586">
        <f>COUNTIFS($AE$14:$AE$17,"&gt;"&amp;$AE15,$AC$14:$AC$17,"="&amp;$AC15)</f>
        <v>0</v>
      </c>
      <c r="AG15" s="599">
        <f t="shared" si="15"/>
        <v>2</v>
      </c>
      <c r="AH15" s="703"/>
      <c r="AI15" s="605">
        <f>COUNTIFS($J$5:$J$8,"&gt;"&amp;$J6,$AG$14:$AG$17,"="&amp;$AG15)</f>
        <v>2</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4</v>
      </c>
      <c r="AZ15" s="616" t="str">
        <v>Turkey</v>
      </c>
      <c r="BA15" s="605">
        <v>0</v>
      </c>
      <c r="BB15" s="605">
        <v>0</v>
      </c>
      <c r="BC15" s="621">
        <v>0</v>
      </c>
      <c r="BE15" s="626" t="str">
        <v/>
      </c>
      <c r="BF15" s="627" t="str">
        <v/>
      </c>
      <c r="BG15" s="628" t="str">
        <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3</v>
      </c>
      <c r="F16" s="594">
        <f t="shared" si="20"/>
        <v>3.016</v>
      </c>
      <c r="G16" s="722">
        <f t="shared" si="21"/>
        <v>3</v>
      </c>
      <c r="H16" s="598"/>
      <c r="I16" s="603">
        <f t="shared" si="22"/>
        <v>2</v>
      </c>
      <c r="J16" s="703"/>
      <c r="K16" s="586">
        <f t="array" ref="K16">SUMPRODUCT($U$22:$U$27*($P$22:$P$27=$D16)*ISNUMBER(MATCH($Q$22:$Q$27,IF($I$14:$I$17=$I16,$D$14:$D$17,""),0)))+SUMPRODUCT($V$22:$V$27*($Q$22:$Q$27=$D16)*ISNUMBER(MATCH($P$22:$P$27,IF($I$14:$I$17=$I16,$D$14:$D$17,""),0)))</f>
        <v>0</v>
      </c>
      <c r="L16" s="586">
        <f>COUNTIFS($K$14:$K$17,"&gt;"&amp;$K16,$I$14:$I$17,"="&amp;$I16)</f>
        <v>0</v>
      </c>
      <c r="M16" s="599">
        <f t="shared" si="10"/>
        <v>2</v>
      </c>
      <c r="N16" s="598"/>
      <c r="O16" s="586">
        <f t="array" ref="O16">SUMPRODUCT($W$22:$W$27*($P$22:$P$27=$D16)*ISNUMBER(MATCH($Q$22:$Q$27,IF($I$14:$I$17=$I16,$D$14:$D$17,""),0)))+SUMPRODUCT(-$W$22:$W$27*($Q$22:$Q$27=$D16)*ISNUMBER(MATCH($P$22:$P$27,IF($I$14:$I$17=$I16,$D$14:$D$17,""),0)))</f>
        <v>0</v>
      </c>
      <c r="P16" s="586">
        <f>COUNTIFS($O$14:$O$17,"&gt;"&amp;$O16,$M$14:$M$17,"="&amp;$M16)</f>
        <v>0</v>
      </c>
      <c r="Q16" s="599">
        <f t="shared" si="11"/>
        <v>2</v>
      </c>
      <c r="R16" s="598"/>
      <c r="S16" s="586">
        <f t="array" ref="S16">SUMPRODUCT($X$22:$X$27*($P$22:$P$27=$D16)*ISNUMBER(MATCH($Q$22:$Q$27,IF($I$14:$I$17=$I16,$D$14:$D$17,""),0)))+SUMPRODUCT($Y$22:$Y$27*($Q$22:$Q$27=$D16)*ISNUMBER(MATCH($P$22:$P$27,IF($I$14:$I$17=$I16,$D$14:$D$17,""),0)))</f>
        <v>0</v>
      </c>
      <c r="T16" s="586">
        <f>COUNTIFS($S$14:$S$17,"&gt;"&amp;$S16,$Q$14:$Q$17,"="&amp;$Q16)</f>
        <v>0</v>
      </c>
      <c r="U16" s="599">
        <f t="shared" si="12"/>
        <v>2</v>
      </c>
      <c r="V16" s="703"/>
      <c r="W16" s="586">
        <f t="array" ref="W16">SUMPRODUCT($U$22:$U$27*($P$22:$P$27=$D16)*ISNUMBER(MATCH($Q$22:$Q$27,IF($U$14:$U$17=$U16,$D$14:$D$17,""),0)))+SUMPRODUCT($V$22:$V$27*($Q$22:$Q$27=$D16)*ISNUMBER(MATCH($P$22:$P$27,IF($U$14:$U$17=$U16,$D$14:$D$17,""),0)))</f>
        <v>0</v>
      </c>
      <c r="X16" s="586">
        <f>COUNTIFS($W$14:$W$17,"&gt;"&amp;$W16,$U$14:$U$17,"="&amp;$U16)</f>
        <v>0</v>
      </c>
      <c r="Y16" s="599">
        <f t="shared" si="13"/>
        <v>2</v>
      </c>
      <c r="Z16" s="598"/>
      <c r="AA16" s="586">
        <f t="array" ref="AA16">SUMPRODUCT($W$22:$W$27*($P$22:$P$27=$D16)*ISNUMBER(MATCH($Q$22:$Q$27,IF($U$14:$U$17=$U16,$D$14:$D$17,""),0)))+SUMPRODUCT(-$W$22:$W$27*($Q$22:$Q$27=$D16)*ISNUMBER(MATCH($P$22:$P$27,IF($U$14:$U$17=$U16,$D$14:$D$17,""),0)))</f>
        <v>0</v>
      </c>
      <c r="AB16" s="586">
        <f>COUNTIFS($AA$14:$AA$17,"&gt;"&amp;$AA16,$Y$14:$Y$17,"="&amp;$Y16)</f>
        <v>0</v>
      </c>
      <c r="AC16" s="599">
        <f t="shared" si="14"/>
        <v>2</v>
      </c>
      <c r="AD16" s="598"/>
      <c r="AE16" s="586">
        <f t="array" ref="AE16">SUMPRODUCT($X$22:$X$27*($P$22:$P$27=$D16)*ISNUMBER(MATCH($Q$22:$Q$27,IF($U$14:$U$17=$U16,$D$14:$D$17,""),0)))+SUMPRODUCT($Y$22:$Y$27*($Q$22:$Q$27=$D16)*ISNUMBER(MATCH($P$22:$P$27,IF($U$14:$U$17=$U16,$D$14:$D$17,""),0)))</f>
        <v>0</v>
      </c>
      <c r="AF16" s="586">
        <f>COUNTIFS($AE$14:$AE$17,"&gt;"&amp;$AE16,$AC$14:$AC$17,"="&amp;$AC16)</f>
        <v>0</v>
      </c>
      <c r="AG16" s="599">
        <f t="shared" si="15"/>
        <v>2</v>
      </c>
      <c r="AH16" s="703"/>
      <c r="AI16" s="605">
        <f>COUNTIFS($J$5:$J$8,"&gt;"&amp;$J7,$AG$14:$AG$17,"="&amp;$AG16)</f>
        <v>0</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1</v>
      </c>
      <c r="AS16" s="599">
        <f t="shared" si="17"/>
        <v>3</v>
      </c>
      <c r="AT16" s="598"/>
      <c r="AV16" s="628" t="b">
        <f t="shared" si="26"/>
        <v>0</v>
      </c>
      <c r="AX16" s="605"/>
      <c r="AY16" s="628">
        <f t="shared" si="27"/>
        <v>3</v>
      </c>
      <c r="AZ16" s="616" t="str">
        <v>Australia</v>
      </c>
      <c r="BA16" s="605">
        <v>0</v>
      </c>
      <c r="BB16" s="605">
        <v>0</v>
      </c>
      <c r="BC16" s="621">
        <v>0</v>
      </c>
      <c r="BE16" s="626" t="str">
        <v/>
      </c>
      <c r="BF16" s="628" t="str">
        <v/>
      </c>
      <c r="BG16" s="627" t="str">
        <v/>
      </c>
      <c r="BH16" s="629" t="str">
        <v/>
      </c>
      <c r="BI16" s="628"/>
      <c r="BJ16" s="628"/>
      <c r="BK16" s="602">
        <v>2</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2</v>
      </c>
      <c r="F17" s="594">
        <f t="shared" si="20"/>
        <v>2.0169999999999999</v>
      </c>
      <c r="G17" s="722">
        <f t="shared" si="21"/>
        <v>2</v>
      </c>
      <c r="H17" s="598"/>
      <c r="I17" s="603">
        <f t="shared" si="22"/>
        <v>2</v>
      </c>
      <c r="J17" s="703"/>
      <c r="K17" s="586">
        <f t="array" ref="K17">SUMPRODUCT($U$22:$U$27*($P$22:$P$27=$D17)*ISNUMBER(MATCH($Q$22:$Q$27,IF($I$14:$I$17=$I17,$D$14:$D$17,""),0)))+SUMPRODUCT($V$22:$V$27*($Q$22:$Q$27=$D17)*ISNUMBER(MATCH($P$22:$P$27,IF($I$14:$I$17=$I17,$D$14:$D$17,""),0)))</f>
        <v>0</v>
      </c>
      <c r="L17" s="586">
        <f>COUNTIFS($K$14:$K$17,"&gt;"&amp;$K17,$I$14:$I$17,"="&amp;$I17)</f>
        <v>0</v>
      </c>
      <c r="M17" s="599">
        <f t="shared" si="10"/>
        <v>2</v>
      </c>
      <c r="N17" s="598"/>
      <c r="O17" s="586">
        <f t="array" ref="O17">SUMPRODUCT($W$22:$W$27*($P$22:$P$27=$D17)*ISNUMBER(MATCH($Q$22:$Q$27,IF($I$14:$I$17=$I17,$D$14:$D$17,""),0)))+SUMPRODUCT(-$W$22:$W$27*($Q$22:$Q$27=$D17)*ISNUMBER(MATCH($P$22:$P$27,IF($I$14:$I$17=$I17,$D$14:$D$17,""),0)))</f>
        <v>0</v>
      </c>
      <c r="P17" s="586">
        <f>COUNTIFS($O$14:$O$17,"&gt;"&amp;$O17,$M$14:$M$17,"="&amp;$M17)</f>
        <v>0</v>
      </c>
      <c r="Q17" s="599">
        <f t="shared" si="11"/>
        <v>2</v>
      </c>
      <c r="R17" s="598"/>
      <c r="S17" s="586">
        <f t="array" ref="S17">SUMPRODUCT($X$22:$X$27*($P$22:$P$27=$D17)*ISNUMBER(MATCH($Q$22:$Q$27,IF($I$14:$I$17=$I17,$D$14:$D$17,""),0)))+SUMPRODUCT($Y$22:$Y$27*($Q$22:$Q$27=$D17)*ISNUMBER(MATCH($P$22:$P$27,IF($I$14:$I$17=$I17,$D$14:$D$17,""),0)))</f>
        <v>0</v>
      </c>
      <c r="T17" s="586">
        <f>COUNTIFS($S$14:$S$17,"&gt;"&amp;$S17,$Q$14:$Q$17,"="&amp;$Q17)</f>
        <v>0</v>
      </c>
      <c r="U17" s="599">
        <f t="shared" si="12"/>
        <v>2</v>
      </c>
      <c r="V17" s="703"/>
      <c r="W17" s="586">
        <f t="array" ref="W17">SUMPRODUCT($U$22:$U$27*($P$22:$P$27=$D17)*ISNUMBER(MATCH($Q$22:$Q$27,IF($U$14:$U$17=$U17,$D$14:$D$17,""),0)))+SUMPRODUCT($V$22:$V$27*($Q$22:$Q$27=$D17)*ISNUMBER(MATCH($P$22:$P$27,IF($U$14:$U$17=$U17,$D$14:$D$17,""),0)))</f>
        <v>0</v>
      </c>
      <c r="X17" s="586">
        <f>COUNTIFS($W$14:$W$17,"&gt;"&amp;$W17,$U$14:$U$17,"="&amp;$U17)</f>
        <v>0</v>
      </c>
      <c r="Y17" s="599">
        <f t="shared" si="13"/>
        <v>2</v>
      </c>
      <c r="Z17" s="598"/>
      <c r="AA17" s="586">
        <f t="array" ref="AA17">SUMPRODUCT($W$22:$W$27*($P$22:$P$27=$D17)*ISNUMBER(MATCH($Q$22:$Q$27,IF($U$14:$U$17=$U17,$D$14:$D$17,""),0)))+SUMPRODUCT(-$W$22:$W$27*($Q$22:$Q$27=$D17)*ISNUMBER(MATCH($P$22:$P$27,IF($U$14:$U$17=$U17,$D$14:$D$17,""),0)))</f>
        <v>0</v>
      </c>
      <c r="AB17" s="586">
        <f>COUNTIFS($AA$14:$AA$17,"&gt;"&amp;$AA17,$Y$14:$Y$17,"="&amp;$Y17)</f>
        <v>0</v>
      </c>
      <c r="AC17" s="599">
        <f t="shared" si="14"/>
        <v>2</v>
      </c>
      <c r="AD17" s="598"/>
      <c r="AE17" s="586">
        <f t="array" ref="AE17">SUMPRODUCT($X$22:$X$27*($P$22:$P$27=$D17)*ISNUMBER(MATCH($Q$22:$Q$27,IF($U$14:$U$17=$U17,$D$14:$D$17,""),0)))+SUMPRODUCT($Y$22:$Y$27*($Q$22:$Q$27=$D17)*ISNUMBER(MATCH($P$22:$P$27,IF($U$14:$U$17=$U17,$D$14:$D$17,""),0)))</f>
        <v>0</v>
      </c>
      <c r="AF17" s="586">
        <f>COUNTIFS($AE$14:$AE$17,"&gt;"&amp;$AE17,$AC$14:$AC$17,"="&amp;$AC17)</f>
        <v>0</v>
      </c>
      <c r="AG17" s="599">
        <f t="shared" si="15"/>
        <v>2</v>
      </c>
      <c r="AH17" s="703"/>
      <c r="AI17" s="605">
        <f>COUNTIFS($J$5:$J$8,"&gt;"&amp;$J8,$AG$14:$AG$17,"="&amp;$AG17)</f>
        <v>0</v>
      </c>
      <c r="AJ17" s="599">
        <f t="shared" si="23"/>
        <v>2</v>
      </c>
      <c r="AK17" s="598"/>
      <c r="AL17" s="605">
        <f>COUNTIFS($H$5:$H$8,"&gt;"&amp;$H8,$AJ$14:$AJ$17,"="&amp;$AJ17)</f>
        <v>0</v>
      </c>
      <c r="AM17" s="599">
        <f t="shared" si="24"/>
        <v>2</v>
      </c>
      <c r="AN17" s="598"/>
      <c r="AO17" s="605">
        <f>COUNTIFS($P$5:$P$8,"&gt;"&amp;$P8,$AM$14:$AM$17,"="&amp;$AM17)</f>
        <v>0</v>
      </c>
      <c r="AP17" s="599">
        <f t="shared" si="16"/>
        <v>2</v>
      </c>
      <c r="AQ17" s="598"/>
      <c r="AR17" s="605">
        <f t="shared" si="25"/>
        <v>0</v>
      </c>
      <c r="AS17" s="599">
        <f t="shared" si="17"/>
        <v>2</v>
      </c>
      <c r="AT17" s="598"/>
      <c r="AV17" s="628" t="b">
        <f t="shared" si="26"/>
        <v>0</v>
      </c>
      <c r="AX17" s="605"/>
      <c r="AY17" s="628">
        <f t="shared" si="27"/>
        <v>2</v>
      </c>
      <c r="AZ17" s="617" t="str">
        <v>Paraguay</v>
      </c>
      <c r="BA17" s="619">
        <v>0</v>
      </c>
      <c r="BB17" s="619">
        <v>0</v>
      </c>
      <c r="BC17" s="622">
        <v>0</v>
      </c>
      <c r="BE17" s="630" t="str">
        <v/>
      </c>
      <c r="BF17" s="631" t="str">
        <v/>
      </c>
      <c r="BG17" s="631" t="str">
        <v/>
      </c>
      <c r="BH17" s="632" t="str">
        <v/>
      </c>
      <c r="BI17" s="628"/>
      <c r="BJ17" s="628"/>
      <c r="BK17" s="694">
        <v>2</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Turkey</v>
      </c>
      <c r="J21" s="637" t="str">
        <v>Australia</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Turkey</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22</v>
      </c>
      <c r="O23" s="659" t="s">
        <v>27</v>
      </c>
      <c r="P23" s="685" t="str">
        <f>INDEX('World Cup'!$B$13:$AJ$38,6,1+(CODE($B$1)-65)*3)</f>
        <v>Australia</v>
      </c>
      <c r="Q23" s="686" t="str">
        <f>INDEX('World Cup'!$B$13:$AJ$38,6,2+(CODE($B$1)-65)*3)</f>
        <v>Turkey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AustraliaTurkey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Australia</v>
      </c>
      <c r="E24" s="704">
        <f t="shared" si="36"/>
        <v>0</v>
      </c>
      <c r="F24" s="586">
        <f t="shared" si="37"/>
        <v>0</v>
      </c>
      <c r="G24" s="711">
        <f t="shared" si="38"/>
        <v>0</v>
      </c>
      <c r="H24" s="643" t="str">
        <v/>
      </c>
      <c r="I24" s="586" t="str">
        <v/>
      </c>
      <c r="J24" s="644" t="str">
        <v/>
      </c>
      <c r="K24" s="707" t="str">
        <v/>
      </c>
      <c r="L24" s="695" t="b">
        <f t="shared" si="39"/>
        <v>0</v>
      </c>
      <c r="M24" s="695" t="b">
        <v>0</v>
      </c>
      <c r="N24" s="586">
        <f t="shared" si="40"/>
        <v>27</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82</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Curaçao</v>
      </c>
      <c r="BG13" s="609" t="str">
        <v>Ivory Coast</v>
      </c>
      <c r="BH13" s="610" t="str">
        <v>Ecuador</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Curaçao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Ivory Coast</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Ecuador</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Curaçao</v>
      </c>
      <c r="J21" s="637" t="str">
        <v>Ivory Coast</v>
      </c>
      <c r="K21" s="638" t="str">
        <v>Ecuador</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10</v>
      </c>
      <c r="O22" s="647" t="s">
        <v>26</v>
      </c>
      <c r="P22" s="682" t="str">
        <f>INDEX('World Cup'!$B$13:$AJ$38,1,1+(CODE($B$1)-65)*3)</f>
        <v>Germany</v>
      </c>
      <c r="Q22" s="683" t="str">
        <f>INDEX('World Cup'!$B$13:$AJ$38,1,2+(CODE($B$1)-65)*3)</f>
        <v>Curaçao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GermanyCuraçao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Curaçao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82</v>
      </c>
      <c r="O23" s="659" t="s">
        <v>27</v>
      </c>
      <c r="P23" s="685" t="str">
        <f>INDEX('World Cup'!$B$13:$AJ$38,6,1+(CODE($B$1)-65)*3)</f>
        <v>Ivory Coast</v>
      </c>
      <c r="Q23" s="686" t="str">
        <f>INDEX('World Cup'!$B$13:$AJ$38,6,2+(CODE($B$1)-65)*3)</f>
        <v>Ecuador</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Ivory CoastEcuador</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Ivory Coast</v>
      </c>
      <c r="E24" s="704">
        <f t="shared" si="36"/>
        <v>0</v>
      </c>
      <c r="F24" s="586">
        <f t="shared" si="37"/>
        <v>0</v>
      </c>
      <c r="G24" s="711">
        <f t="shared" si="38"/>
        <v>0</v>
      </c>
      <c r="H24" s="643" t="str">
        <v/>
      </c>
      <c r="I24" s="586" t="str">
        <v/>
      </c>
      <c r="J24" s="644" t="str">
        <v/>
      </c>
      <c r="K24" s="707" t="str">
        <v/>
      </c>
      <c r="L24" s="695" t="b">
        <f t="shared" si="39"/>
        <v>0</v>
      </c>
      <c r="M24" s="695" t="b">
        <v>0</v>
      </c>
      <c r="N24" s="586">
        <f t="shared" si="40"/>
        <v>34</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Ecuador</v>
      </c>
      <c r="E25" s="712">
        <f t="shared" si="36"/>
        <v>0</v>
      </c>
      <c r="F25" s="646">
        <f t="shared" si="37"/>
        <v>0</v>
      </c>
      <c r="G25" s="713">
        <f t="shared" si="38"/>
        <v>0</v>
      </c>
      <c r="H25" s="645" t="str">
        <v/>
      </c>
      <c r="I25" s="646" t="str">
        <v/>
      </c>
      <c r="J25" s="646" t="str">
        <v/>
      </c>
      <c r="K25" s="708" t="str">
        <v/>
      </c>
      <c r="L25" s="695" t="b">
        <f t="shared" si="39"/>
        <v>0</v>
      </c>
      <c r="M25" s="695" t="b">
        <v>0</v>
      </c>
      <c r="N25" s="586">
        <f t="shared" si="40"/>
        <v>23</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Japan</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44</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Netherlands</v>
      </c>
      <c r="BF13" s="609" t="str">
        <v>Japan</v>
      </c>
      <c r="BG13" s="609" t="str">
        <v>Sweden</v>
      </c>
      <c r="BH13" s="610" t="str">
        <v>Tunisia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Netherlands</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Japan</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Sweden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Tunisia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Netherlands</v>
      </c>
      <c r="I21" s="637" t="str">
        <v>Japan</v>
      </c>
      <c r="J21" s="637" t="str">
        <v>Sweden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Netherlands</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7</v>
      </c>
      <c r="O22" s="647" t="s">
        <v>26</v>
      </c>
      <c r="P22" s="682" t="str">
        <f>INDEX('World Cup'!$B$13:$AJ$38,1,1+(CODE($B$1)-65)*3)</f>
        <v>Netherlands</v>
      </c>
      <c r="Q22" s="683" t="str">
        <f>INDEX('World Cup'!$B$13:$AJ$38,1,2+(CODE($B$1)-65)*3)</f>
        <v>Japan</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NetherlandsJapan</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Japan</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18</v>
      </c>
      <c r="O23" s="659" t="s">
        <v>27</v>
      </c>
      <c r="P23" s="685" t="str">
        <f>INDEX('World Cup'!$B$13:$AJ$38,6,1+(CODE($B$1)-65)*3)</f>
        <v>Sweden</v>
      </c>
      <c r="Q23" s="686" t="str">
        <f>INDEX('World Cup'!$B$13:$AJ$38,6,2+(CODE($B$1)-65)*3)</f>
        <v>Tunisia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SwedenTunisia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Sweden</v>
      </c>
      <c r="E24" s="704">
        <f t="shared" si="36"/>
        <v>0</v>
      </c>
      <c r="F24" s="586">
        <f t="shared" si="37"/>
        <v>0</v>
      </c>
      <c r="G24" s="711">
        <f t="shared" si="38"/>
        <v>0</v>
      </c>
      <c r="H24" s="643" t="str">
        <v/>
      </c>
      <c r="I24" s="586" t="str">
        <v/>
      </c>
      <c r="J24" s="644" t="str">
        <v/>
      </c>
      <c r="K24" s="707" t="str">
        <v/>
      </c>
      <c r="L24" s="695" t="b">
        <f t="shared" si="39"/>
        <v>0</v>
      </c>
      <c r="M24" s="695" t="b">
        <v>0</v>
      </c>
      <c r="N24" s="586">
        <f t="shared" si="40"/>
        <v>38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0</v>
      </c>
      <c r="G25" s="713">
        <f t="shared" si="38"/>
        <v>0</v>
      </c>
      <c r="H25" s="645" t="str">
        <v/>
      </c>
      <c r="I25" s="646" t="str">
        <v/>
      </c>
      <c r="J25" s="646" t="str">
        <v/>
      </c>
      <c r="K25" s="708" t="str">
        <v/>
      </c>
      <c r="L25" s="695" t="b">
        <f t="shared" si="39"/>
        <v>0</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New Zealand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Belgium</v>
      </c>
      <c r="BF13" s="609" t="str">
        <v>Egypt</v>
      </c>
      <c r="BG13" s="609" t="str">
        <v>IR Iran</v>
      </c>
      <c r="BH13" s="610" t="str">
        <v>New Zealand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Belgium</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Belgium</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New Zealand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New Zealand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Belgium</v>
      </c>
      <c r="I21" s="637" t="str">
        <v>Egypt</v>
      </c>
      <c r="J21" s="637" t="str">
        <v>IR Iran</v>
      </c>
      <c r="K21" s="638" t="str">
        <v>New Zealand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Belgium</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Belgium</v>
      </c>
      <c r="Q22" s="683" t="str">
        <f>INDEX('World Cup'!$B$13:$AJ$38,1,2+(CODE($B$1)-65)*3)</f>
        <v>Egypt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BelgiumEgypt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Egypt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IR Iran</v>
      </c>
      <c r="Q23" s="686" t="str">
        <f>INDEX('World Cup'!$B$13:$AJ$38,6,2+(CODE($B$1)-65)*3)</f>
        <v>New Zealand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 IranNew Zealand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New Zealand</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Spain</v>
      </c>
      <c r="BF13" s="609" t="str">
        <v>Cape Verde</v>
      </c>
      <c r="BG13" s="609" t="str">
        <v>Saudi Arabia</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Spain</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Spain</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Cape Verde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Saudi Arabia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Spain</v>
      </c>
      <c r="I21" s="637" t="str">
        <v>Cape Verde</v>
      </c>
      <c r="J21" s="637" t="str">
        <v>Saudi Arabia</v>
      </c>
      <c r="K21" s="638" t="str">
        <v>Uruguay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Spain</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Spain</v>
      </c>
      <c r="Q22" s="683" t="str">
        <f>INDEX('World Cup'!$B$13:$AJ$38,1,2+(CODE($B$1)-65)*3)</f>
        <v>Cape Verde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Cape Verde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Saudi Arabia</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Saudi ArabiaUruguay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Saudi Arabia</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Canada</v>
      </c>
      <c r="K13" s="744" t="str">
        <v>Bosnia/</v>
      </c>
      <c r="L13" s="744" t="str">
        <v>Switzer</v>
      </c>
      <c r="M13" s="745" t="str">
        <v>Qatar</v>
      </c>
      <c r="O13" s="743"/>
      <c r="P13" s="754" t="str">
        <f>Language!$E$131</f>
        <v>Pts.</v>
      </c>
      <c r="Q13" s="754" t="str">
        <f>Language!$E$132</f>
        <v>GD</v>
      </c>
      <c r="R13" s="847" t="str">
        <f>Language!$E$133</f>
        <v>Goals</v>
      </c>
      <c r="S13" s="848"/>
      <c r="T13" s="848"/>
      <c r="U13" s="746" t="str">
        <f t="array" ref="U13:X13">LEFT(CalcB!$BE$13:$BH$13,$D$4)</f>
        <v>Canada</v>
      </c>
      <c r="V13" s="744" t="str">
        <v>Bosnia/</v>
      </c>
      <c r="W13" s="744" t="str">
        <v/>
      </c>
      <c r="X13" s="745" t="str">
        <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Switzer</v>
      </c>
      <c r="AI13" s="745" t="str">
        <v>Qatar</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Canada</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1 - 1</v>
      </c>
      <c r="L14" s="355" t="str">
        <v/>
      </c>
      <c r="M14" s="742" t="str">
        <v/>
      </c>
      <c r="O14" s="756" t="str">
        <f t="array" ref="O14:O17">CalcB!$AZ$14:$AZ$17</f>
        <v>Canada</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1 - 1</v>
      </c>
      <c r="W14" s="355" t="str">
        <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30</v>
      </c>
    </row>
    <row r="15" spans="2:49" x14ac:dyDescent="0.3">
      <c r="B15" s="761" t="str">
        <v>•</v>
      </c>
      <c r="D15" s="757" t="str">
        <v>Bosnia/Herzeg.</v>
      </c>
      <c r="E15" s="198">
        <v>1</v>
      </c>
      <c r="F15" s="198">
        <f t="shared" ref="F15:F17" si="7">G15-I15</f>
        <v>0</v>
      </c>
      <c r="G15" s="737">
        <v>1</v>
      </c>
      <c r="H15" s="739" t="str">
        <f>Language!$E$197</f>
        <v xml:space="preserve"> - </v>
      </c>
      <c r="I15" s="751">
        <v>1</v>
      </c>
      <c r="J15" s="748" t="str">
        <v>1 - 1</v>
      </c>
      <c r="K15" s="733" t="str">
        <v/>
      </c>
      <c r="L15" s="198" t="str">
        <v/>
      </c>
      <c r="M15" s="734" t="str">
        <v/>
      </c>
      <c r="O15" s="757" t="str">
        <v>Bosnia/Herzeg.</v>
      </c>
      <c r="P15" s="198">
        <v>1</v>
      </c>
      <c r="Q15" s="198">
        <v>0</v>
      </c>
      <c r="R15" s="737">
        <v>1</v>
      </c>
      <c r="S15" s="739" t="str">
        <f>Language!$E$197</f>
        <v xml:space="preserve"> - </v>
      </c>
      <c r="T15" s="751">
        <f t="shared" si="4"/>
        <v>1</v>
      </c>
      <c r="U15" s="748" t="str">
        <v>1 - 1</v>
      </c>
      <c r="V15" s="733" t="str">
        <v/>
      </c>
      <c r="W15" s="198" t="str">
        <v/>
      </c>
      <c r="X15" s="734" t="str">
        <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65</v>
      </c>
    </row>
    <row r="16" spans="2:49" x14ac:dyDescent="0.3">
      <c r="B16" s="761" t="str">
        <v/>
      </c>
      <c r="D16" s="757" t="str">
        <v>Switzerland</v>
      </c>
      <c r="E16" s="198">
        <v>0</v>
      </c>
      <c r="F16" s="198">
        <f t="shared" si="7"/>
        <v>0</v>
      </c>
      <c r="G16" s="737">
        <v>0</v>
      </c>
      <c r="H16" s="739" t="str">
        <f>Language!$E$197</f>
        <v xml:space="preserve"> - </v>
      </c>
      <c r="I16" s="751">
        <v>0</v>
      </c>
      <c r="J16" s="748" t="str">
        <v/>
      </c>
      <c r="K16" s="198" t="str">
        <v/>
      </c>
      <c r="L16" s="733" t="str">
        <v/>
      </c>
      <c r="M16" s="734" t="str">
        <v/>
      </c>
      <c r="O16" s="757" t="str">
        <v/>
      </c>
      <c r="P16" s="198" t="str">
        <v/>
      </c>
      <c r="Q16" s="198" t="str">
        <v/>
      </c>
      <c r="R16" s="737" t="str">
        <v/>
      </c>
      <c r="S16" s="739" t="str">
        <f>Language!$E$197</f>
        <v xml:space="preserve"> - </v>
      </c>
      <c r="T16" s="751" t="str">
        <f t="shared" si="4"/>
        <v/>
      </c>
      <c r="U16" s="748" t="str">
        <v/>
      </c>
      <c r="V16" s="198" t="str">
        <v/>
      </c>
      <c r="W16" s="733" t="str">
        <v/>
      </c>
      <c r="X16" s="734" t="str">
        <v/>
      </c>
      <c r="Z16" s="757" t="str">
        <v>Switzerland</v>
      </c>
      <c r="AA16" s="198">
        <v>0</v>
      </c>
      <c r="AB16" s="198">
        <v>0</v>
      </c>
      <c r="AC16" s="737">
        <v>0</v>
      </c>
      <c r="AD16" s="739" t="str">
        <f>Language!$E$197</f>
        <v xml:space="preserve"> - </v>
      </c>
      <c r="AE16" s="751">
        <f t="shared" si="5"/>
        <v>0</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19</v>
      </c>
    </row>
    <row r="17" spans="2:49" ht="15" thickBot="1" x14ac:dyDescent="0.35">
      <c r="B17" s="761" t="str">
        <v/>
      </c>
      <c r="D17" s="758" t="str">
        <v>Qatar</v>
      </c>
      <c r="E17" s="735">
        <v>0</v>
      </c>
      <c r="F17" s="735">
        <f t="shared" si="7"/>
        <v>0</v>
      </c>
      <c r="G17" s="738">
        <v>0</v>
      </c>
      <c r="H17" s="740" t="str">
        <f>Language!$E$197</f>
        <v xml:space="preserve"> - </v>
      </c>
      <c r="I17" s="752">
        <v>0</v>
      </c>
      <c r="J17" s="749" t="str">
        <v/>
      </c>
      <c r="K17" s="735" t="str">
        <v/>
      </c>
      <c r="L17" s="735" t="str">
        <v/>
      </c>
      <c r="M17" s="736" t="str">
        <v/>
      </c>
      <c r="O17" s="758" t="str">
        <v/>
      </c>
      <c r="P17" s="735" t="str">
        <v/>
      </c>
      <c r="Q17" s="735" t="str">
        <v/>
      </c>
      <c r="R17" s="738" t="str">
        <v/>
      </c>
      <c r="S17" s="740" t="str">
        <f>Language!$E$197</f>
        <v xml:space="preserve"> - </v>
      </c>
      <c r="T17" s="752" t="str">
        <f t="shared" si="4"/>
        <v/>
      </c>
      <c r="U17" s="749" t="str">
        <v/>
      </c>
      <c r="V17" s="735" t="str">
        <v/>
      </c>
      <c r="W17" s="735" t="str">
        <v/>
      </c>
      <c r="X17" s="736" t="str">
        <v/>
      </c>
      <c r="Z17" s="758" t="str">
        <v>Qatar</v>
      </c>
      <c r="AA17" s="735">
        <v>0</v>
      </c>
      <c r="AB17" s="735">
        <v>0</v>
      </c>
      <c r="AC17" s="738">
        <v>0</v>
      </c>
      <c r="AD17" s="740" t="str">
        <f>Language!$E$197</f>
        <v xml:space="preserve"> - </v>
      </c>
      <c r="AE17" s="752">
        <f t="shared" si="5"/>
        <v>0</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55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Brazil</v>
      </c>
      <c r="K21" s="744" t="str">
        <v>Morocco</v>
      </c>
      <c r="L21" s="744" t="str">
        <v>Haiti</v>
      </c>
      <c r="M21" s="745" t="str">
        <v>Scotlan</v>
      </c>
      <c r="O21" s="743"/>
      <c r="P21" s="754" t="str">
        <f>Language!$E$131</f>
        <v>Pts.</v>
      </c>
      <c r="Q21" s="754" t="str">
        <f>Language!$E$132</f>
        <v>GD</v>
      </c>
      <c r="R21" s="847" t="str">
        <f>Language!$E$133</f>
        <v>Goals</v>
      </c>
      <c r="S21" s="848"/>
      <c r="T21" s="848"/>
      <c r="U21" s="746" t="str">
        <f t="array" ref="U21:X21">LEFT(CalcC!$BE$13:$BH$13,$D$4)</f>
        <v>Brazil</v>
      </c>
      <c r="V21" s="744" t="str">
        <v>Morocco</v>
      </c>
      <c r="W21" s="744" t="str">
        <v>Haiti</v>
      </c>
      <c r="X21" s="745" t="str">
        <v>Scotlan</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Brazil</v>
      </c>
      <c r="E22" s="355">
        <f t="array" ref="E22:E25">CalcC!$E$22:$E$25</f>
        <v>0</v>
      </c>
      <c r="F22" s="355">
        <f>G22-I22</f>
        <v>0</v>
      </c>
      <c r="G22" s="741">
        <f t="array" ref="G22:G25">CalcC!$F$22:$F$25</f>
        <v>0</v>
      </c>
      <c r="H22" s="753" t="str">
        <f>Language!$E$197</f>
        <v xml:space="preserve"> - </v>
      </c>
      <c r="I22" s="750">
        <f t="array" ref="I22:I25">CalcC!$G$22:$G$25</f>
        <v>0</v>
      </c>
      <c r="J22" s="747" t="str">
        <f t="array" ref="J22:M25">CalcC!$H$22:$K$25</f>
        <v/>
      </c>
      <c r="K22" s="355" t="str">
        <v/>
      </c>
      <c r="L22" s="355" t="str">
        <v/>
      </c>
      <c r="M22" s="742" t="str">
        <v/>
      </c>
      <c r="O22" s="756" t="str">
        <f t="array" ref="O22:O25">CalcC!$AZ$14:$AZ$17</f>
        <v>Brazil</v>
      </c>
      <c r="P22" s="355">
        <f t="array" ref="P22:P25">CalcC!$BA$14:$BA$17</f>
        <v>0</v>
      </c>
      <c r="Q22" s="355">
        <f t="array" ref="Q22:Q25">CalcC!$BB$14:$BB$17</f>
        <v>0</v>
      </c>
      <c r="R22" s="741">
        <f t="array" ref="R22:R25">CalcC!$BC$14:$BC$17</f>
        <v>0</v>
      </c>
      <c r="S22" s="753" t="str">
        <f>Language!$E$197</f>
        <v xml:space="preserve"> - </v>
      </c>
      <c r="T22" s="750">
        <f t="shared" ref="T22:T25" si="8">IF(O22="","",R22-Q22)</f>
        <v>0</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6</v>
      </c>
    </row>
    <row r="23" spans="2:49" x14ac:dyDescent="0.3">
      <c r="B23" s="761" t="str">
        <v/>
      </c>
      <c r="D23" s="757" t="str">
        <v>Morocco</v>
      </c>
      <c r="E23" s="198">
        <v>0</v>
      </c>
      <c r="F23" s="198">
        <f t="shared" ref="F23:F25" si="11">G23-I23</f>
        <v>0</v>
      </c>
      <c r="G23" s="737">
        <v>0</v>
      </c>
      <c r="H23" s="739" t="str">
        <f>Language!$E$197</f>
        <v xml:space="preserve"> - </v>
      </c>
      <c r="I23" s="751">
        <v>0</v>
      </c>
      <c r="J23" s="748" t="str">
        <v/>
      </c>
      <c r="K23" s="733" t="str">
        <v/>
      </c>
      <c r="L23" s="198" t="str">
        <v/>
      </c>
      <c r="M23" s="734" t="str">
        <v/>
      </c>
      <c r="O23" s="757" t="str">
        <v>Morocco</v>
      </c>
      <c r="P23" s="198">
        <v>0</v>
      </c>
      <c r="Q23" s="198">
        <v>0</v>
      </c>
      <c r="R23" s="737">
        <v>0</v>
      </c>
      <c r="S23" s="739" t="str">
        <f>Language!$E$197</f>
        <v xml:space="preserve"> - </v>
      </c>
      <c r="T23" s="751">
        <f t="shared" si="8"/>
        <v>0</v>
      </c>
      <c r="U23" s="748" t="str">
        <v/>
      </c>
      <c r="V23" s="733" t="str">
        <v/>
      </c>
      <c r="W23" s="198" t="str">
        <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8</v>
      </c>
    </row>
    <row r="24" spans="2:49" x14ac:dyDescent="0.3">
      <c r="B24" s="761" t="str">
        <v/>
      </c>
      <c r="D24" s="757" t="str">
        <v>Haiti</v>
      </c>
      <c r="E24" s="198">
        <v>0</v>
      </c>
      <c r="F24" s="198">
        <f t="shared" si="11"/>
        <v>0</v>
      </c>
      <c r="G24" s="737">
        <v>0</v>
      </c>
      <c r="H24" s="739" t="str">
        <f>Language!$E$197</f>
        <v xml:space="preserve"> - </v>
      </c>
      <c r="I24" s="751">
        <v>0</v>
      </c>
      <c r="J24" s="748" t="str">
        <v/>
      </c>
      <c r="K24" s="198" t="str">
        <v/>
      </c>
      <c r="L24" s="733" t="str">
        <v/>
      </c>
      <c r="M24" s="734" t="str">
        <v/>
      </c>
      <c r="O24" s="757" t="str">
        <v>Haiti</v>
      </c>
      <c r="P24" s="198">
        <v>0</v>
      </c>
      <c r="Q24" s="198">
        <v>0</v>
      </c>
      <c r="R24" s="737">
        <v>0</v>
      </c>
      <c r="S24" s="739" t="str">
        <f>Language!$E$197</f>
        <v xml:space="preserve"> - </v>
      </c>
      <c r="T24" s="751">
        <f t="shared" si="8"/>
        <v>0</v>
      </c>
      <c r="U24" s="748" t="str">
        <v/>
      </c>
      <c r="V24" s="198" t="str">
        <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83</v>
      </c>
    </row>
    <row r="25" spans="2:49" ht="15" thickBot="1" x14ac:dyDescent="0.35">
      <c r="B25" s="761" t="str">
        <v/>
      </c>
      <c r="D25" s="758" t="str">
        <v>Scotland</v>
      </c>
      <c r="E25" s="735">
        <v>0</v>
      </c>
      <c r="F25" s="735">
        <f t="shared" si="11"/>
        <v>0</v>
      </c>
      <c r="G25" s="738">
        <v>0</v>
      </c>
      <c r="H25" s="740" t="str">
        <f>Language!$E$197</f>
        <v xml:space="preserve"> - </v>
      </c>
      <c r="I25" s="752">
        <v>0</v>
      </c>
      <c r="J25" s="749" t="str">
        <v/>
      </c>
      <c r="K25" s="735" t="str">
        <v/>
      </c>
      <c r="L25" s="735" t="str">
        <v/>
      </c>
      <c r="M25" s="736" t="str">
        <v/>
      </c>
      <c r="O25" s="758" t="str">
        <v>Scotland</v>
      </c>
      <c r="P25" s="735">
        <v>0</v>
      </c>
      <c r="Q25" s="735">
        <v>0</v>
      </c>
      <c r="R25" s="738">
        <v>0</v>
      </c>
      <c r="S25" s="740" t="str">
        <f>Language!$E$197</f>
        <v xml:space="preserve"> - </v>
      </c>
      <c r="T25" s="752">
        <f t="shared" si="8"/>
        <v>0</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43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Turkey</v>
      </c>
      <c r="L29" s="744" t="str">
        <v>Austral</v>
      </c>
      <c r="M29" s="745" t="str">
        <v>Paragua</v>
      </c>
      <c r="O29" s="743"/>
      <c r="P29" s="754" t="str">
        <f>Language!$E$131</f>
        <v>Pts.</v>
      </c>
      <c r="Q29" s="754" t="str">
        <f>Language!$E$132</f>
        <v>GD</v>
      </c>
      <c r="R29" s="847" t="str">
        <f>Language!$E$133</f>
        <v>Goals</v>
      </c>
      <c r="S29" s="848"/>
      <c r="T29" s="848"/>
      <c r="U29" s="746" t="str">
        <f t="array" ref="U29:X29">LEFT(CalcD!$BE$13:$BH$13,$D$4)</f>
        <v/>
      </c>
      <c r="V29" s="744" t="str">
        <v>Turkey</v>
      </c>
      <c r="W29" s="744" t="str">
        <v>Austral</v>
      </c>
      <c r="X29" s="745" t="str">
        <v>Paragua</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
      </c>
      <c r="AI29" s="745" t="str">
        <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
      </c>
      <c r="P30" s="355" t="str">
        <f t="array" ref="P30:P33">CalcD!$BA$14:$BA$17</f>
        <v/>
      </c>
      <c r="Q30" s="355" t="str">
        <f t="array" ref="Q30:Q33">CalcD!$BB$14:$BB$17</f>
        <v/>
      </c>
      <c r="R30" s="741" t="str">
        <f t="array" ref="R30:R33">CalcD!$BC$14:$BC$17</f>
        <v/>
      </c>
      <c r="S30" s="753" t="str">
        <f>Language!$E$197</f>
        <v xml:space="preserve"> - </v>
      </c>
      <c r="T30" s="750" t="str">
        <f t="shared" ref="T30:T33" si="12">IF(O30="","",R30-Q30)</f>
        <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Turkey</v>
      </c>
      <c r="E31" s="198">
        <v>0</v>
      </c>
      <c r="F31" s="198">
        <f t="shared" ref="F31:F33" si="15">G31-I31</f>
        <v>0</v>
      </c>
      <c r="G31" s="737">
        <v>0</v>
      </c>
      <c r="H31" s="739" t="str">
        <f>Language!$E$197</f>
        <v xml:space="preserve"> - </v>
      </c>
      <c r="I31" s="751">
        <v>0</v>
      </c>
      <c r="J31" s="748" t="str">
        <v/>
      </c>
      <c r="K31" s="733" t="str">
        <v/>
      </c>
      <c r="L31" s="198" t="str">
        <v/>
      </c>
      <c r="M31" s="734" t="str">
        <v/>
      </c>
      <c r="O31" s="757" t="str">
        <v>Turkey</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22</v>
      </c>
    </row>
    <row r="32" spans="2:49" x14ac:dyDescent="0.3">
      <c r="B32" s="761" t="str">
        <v/>
      </c>
      <c r="D32" s="757" t="str">
        <v>Australia</v>
      </c>
      <c r="E32" s="198">
        <v>0</v>
      </c>
      <c r="F32" s="198">
        <f t="shared" si="15"/>
        <v>0</v>
      </c>
      <c r="G32" s="737">
        <v>0</v>
      </c>
      <c r="H32" s="739" t="str">
        <f>Language!$E$197</f>
        <v xml:space="preserve"> - </v>
      </c>
      <c r="I32" s="751">
        <v>0</v>
      </c>
      <c r="J32" s="748" t="str">
        <v/>
      </c>
      <c r="K32" s="198" t="str">
        <v/>
      </c>
      <c r="L32" s="733" t="str">
        <v/>
      </c>
      <c r="M32" s="734" t="str">
        <v/>
      </c>
      <c r="O32" s="757" t="str">
        <v>Australia</v>
      </c>
      <c r="P32" s="198">
        <v>0</v>
      </c>
      <c r="Q32" s="198">
        <v>0</v>
      </c>
      <c r="R32" s="737">
        <v>0</v>
      </c>
      <c r="S32" s="739" t="str">
        <f>Language!$E$197</f>
        <v xml:space="preserve"> - </v>
      </c>
      <c r="T32" s="751">
        <f t="shared" si="12"/>
        <v>0</v>
      </c>
      <c r="U32" s="748" t="str">
        <v/>
      </c>
      <c r="V32" s="198" t="str">
        <v/>
      </c>
      <c r="W32" s="733" t="str">
        <v/>
      </c>
      <c r="X32" s="734" t="str">
        <v/>
      </c>
      <c r="Z32" s="757" t="str">
        <v/>
      </c>
      <c r="AA32" s="198" t="str">
        <v/>
      </c>
      <c r="AB32" s="198" t="str">
        <v/>
      </c>
      <c r="AC32" s="737" t="str">
        <v/>
      </c>
      <c r="AD32" s="739" t="str">
        <f>Language!$E$197</f>
        <v xml:space="preserve"> - </v>
      </c>
      <c r="AE32" s="751" t="str">
        <f t="shared" si="13"/>
        <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27</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Paraguay</v>
      </c>
      <c r="P33" s="735">
        <v>0</v>
      </c>
      <c r="Q33" s="735">
        <v>0</v>
      </c>
      <c r="R33" s="738">
        <v>0</v>
      </c>
      <c r="S33" s="740" t="str">
        <f>Language!$E$197</f>
        <v xml:space="preserve"> - </v>
      </c>
      <c r="T33" s="752">
        <f t="shared" si="12"/>
        <v>0</v>
      </c>
      <c r="U33" s="749" t="str">
        <v/>
      </c>
      <c r="V33" s="735" t="str">
        <v/>
      </c>
      <c r="W33" s="735" t="str">
        <v/>
      </c>
      <c r="X33" s="736" t="str">
        <v/>
      </c>
      <c r="Z33" s="758" t="str">
        <v/>
      </c>
      <c r="AA33" s="735" t="str">
        <v/>
      </c>
      <c r="AB33" s="735" t="str">
        <v/>
      </c>
      <c r="AC33" s="738" t="str">
        <v/>
      </c>
      <c r="AD33" s="740" t="str">
        <f>Language!$E$197</f>
        <v xml:space="preserve"> - </v>
      </c>
      <c r="AE33" s="752" t="str">
        <f t="shared" si="13"/>
        <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Curaçao</v>
      </c>
      <c r="L37" s="744" t="str">
        <v>Ivory C</v>
      </c>
      <c r="M37" s="745" t="str">
        <v>Ecuador</v>
      </c>
      <c r="O37" s="743"/>
      <c r="P37" s="754" t="str">
        <f>Language!$E$131</f>
        <v>Pts.</v>
      </c>
      <c r="Q37" s="754" t="str">
        <f>Language!$E$132</f>
        <v>GD</v>
      </c>
      <c r="R37" s="847" t="str">
        <f>Language!$E$133</f>
        <v>Goals</v>
      </c>
      <c r="S37" s="848"/>
      <c r="T37" s="848"/>
      <c r="U37" s="746" t="str">
        <f t="array" ref="U37:X37">LEFT(CalcE!$BE$13:$BH$13,$D$4)</f>
        <v>Germany</v>
      </c>
      <c r="V37" s="744" t="str">
        <v>Curaçao</v>
      </c>
      <c r="W37" s="744" t="str">
        <v>Ivory C</v>
      </c>
      <c r="X37" s="745" t="str">
        <v>Ecuador</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
      </c>
      <c r="AI37" s="745" t="str">
        <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0</v>
      </c>
      <c r="F38" s="355">
        <f>G38-I38</f>
        <v>0</v>
      </c>
      <c r="G38" s="741">
        <f t="array" ref="G38:G41">CalcE!$F$22:$F$25</f>
        <v>0</v>
      </c>
      <c r="H38" s="753" t="str">
        <f>Language!$E$197</f>
        <v xml:space="preserve"> - </v>
      </c>
      <c r="I38" s="750">
        <f t="array" ref="I38:I41">CalcE!$G$22:$G$25</f>
        <v>0</v>
      </c>
      <c r="J38" s="747" t="str">
        <f t="array" ref="J38:M41">CalcE!$H$22:$K$25</f>
        <v/>
      </c>
      <c r="K38" s="355" t="str">
        <v/>
      </c>
      <c r="L38" s="355" t="str">
        <v/>
      </c>
      <c r="M38" s="742" t="str">
        <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Curaçao</v>
      </c>
      <c r="E39" s="198">
        <v>0</v>
      </c>
      <c r="F39" s="198">
        <f t="shared" ref="F39:F41" si="19">G39-I39</f>
        <v>0</v>
      </c>
      <c r="G39" s="737">
        <v>0</v>
      </c>
      <c r="H39" s="739" t="str">
        <f>Language!$E$197</f>
        <v xml:space="preserve"> - </v>
      </c>
      <c r="I39" s="751">
        <v>0</v>
      </c>
      <c r="J39" s="748" t="str">
        <v/>
      </c>
      <c r="K39" s="733" t="str">
        <v/>
      </c>
      <c r="L39" s="198" t="str">
        <v/>
      </c>
      <c r="M39" s="734" t="str">
        <v/>
      </c>
      <c r="O39" s="757" t="str">
        <v>Curaçao</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82</v>
      </c>
    </row>
    <row r="40" spans="2:49" x14ac:dyDescent="0.3">
      <c r="B40" s="761" t="str">
        <v/>
      </c>
      <c r="D40" s="757" t="str">
        <v>Ivory Coast</v>
      </c>
      <c r="E40" s="198">
        <v>0</v>
      </c>
      <c r="F40" s="198">
        <f t="shared" si="19"/>
        <v>0</v>
      </c>
      <c r="G40" s="737">
        <v>0</v>
      </c>
      <c r="H40" s="739" t="str">
        <f>Language!$E$197</f>
        <v xml:space="preserve"> - </v>
      </c>
      <c r="I40" s="751">
        <v>0</v>
      </c>
      <c r="J40" s="748" t="str">
        <v/>
      </c>
      <c r="K40" s="198" t="str">
        <v/>
      </c>
      <c r="L40" s="733" t="str">
        <v/>
      </c>
      <c r="M40" s="734" t="str">
        <v/>
      </c>
      <c r="O40" s="757" t="str">
        <v>Ivory Coast</v>
      </c>
      <c r="P40" s="198">
        <v>0</v>
      </c>
      <c r="Q40" s="198">
        <v>0</v>
      </c>
      <c r="R40" s="737">
        <v>0</v>
      </c>
      <c r="S40" s="739" t="str">
        <f>Language!$E$197</f>
        <v xml:space="preserve"> - </v>
      </c>
      <c r="T40" s="751">
        <f t="shared" si="16"/>
        <v>0</v>
      </c>
      <c r="U40" s="748" t="str">
        <v/>
      </c>
      <c r="V40" s="198" t="str">
        <v/>
      </c>
      <c r="W40" s="733" t="str">
        <v/>
      </c>
      <c r="X40" s="734" t="str">
        <v/>
      </c>
      <c r="Z40" s="757" t="str">
        <v/>
      </c>
      <c r="AA40" s="198" t="str">
        <v/>
      </c>
      <c r="AB40" s="198" t="str">
        <v/>
      </c>
      <c r="AC40" s="737" t="str">
        <v/>
      </c>
      <c r="AD40" s="739" t="str">
        <f>Language!$E$197</f>
        <v xml:space="preserve"> - </v>
      </c>
      <c r="AE40" s="751" t="str">
        <f t="shared" si="17"/>
        <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34</v>
      </c>
    </row>
    <row r="41" spans="2:49" ht="15" thickBot="1" x14ac:dyDescent="0.35">
      <c r="B41" s="761" t="str">
        <v/>
      </c>
      <c r="D41" s="758" t="str">
        <v>Ecuador</v>
      </c>
      <c r="E41" s="735">
        <v>0</v>
      </c>
      <c r="F41" s="735">
        <f t="shared" si="19"/>
        <v>0</v>
      </c>
      <c r="G41" s="738">
        <v>0</v>
      </c>
      <c r="H41" s="740" t="str">
        <f>Language!$E$197</f>
        <v xml:space="preserve"> - </v>
      </c>
      <c r="I41" s="752">
        <v>0</v>
      </c>
      <c r="J41" s="749" t="str">
        <v/>
      </c>
      <c r="K41" s="735" t="str">
        <v/>
      </c>
      <c r="L41" s="735" t="str">
        <v/>
      </c>
      <c r="M41" s="736" t="str">
        <v/>
      </c>
      <c r="O41" s="758" t="str">
        <v>Ecuador</v>
      </c>
      <c r="P41" s="735">
        <v>0</v>
      </c>
      <c r="Q41" s="735">
        <v>0</v>
      </c>
      <c r="R41" s="738">
        <v>0</v>
      </c>
      <c r="S41" s="740" t="str">
        <f>Language!$E$197</f>
        <v xml:space="preserve"> - </v>
      </c>
      <c r="T41" s="752">
        <f t="shared" si="16"/>
        <v>0</v>
      </c>
      <c r="U41" s="749" t="str">
        <v/>
      </c>
      <c r="V41" s="735" t="str">
        <v/>
      </c>
      <c r="W41" s="735" t="str">
        <v/>
      </c>
      <c r="X41" s="736" t="str">
        <v/>
      </c>
      <c r="Z41" s="758" t="str">
        <v/>
      </c>
      <c r="AA41" s="735" t="str">
        <v/>
      </c>
      <c r="AB41" s="735" t="str">
        <v/>
      </c>
      <c r="AC41" s="738" t="str">
        <v/>
      </c>
      <c r="AD41" s="740" t="str">
        <f>Language!$E$197</f>
        <v xml:space="preserve"> - </v>
      </c>
      <c r="AE41" s="752" t="str">
        <f t="shared" si="17"/>
        <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23</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Netherl</v>
      </c>
      <c r="K45" s="744" t="str">
        <v>Japan</v>
      </c>
      <c r="L45" s="744" t="str">
        <v>Sweden</v>
      </c>
      <c r="M45" s="745" t="str">
        <v>Tunisia</v>
      </c>
      <c r="O45" s="743"/>
      <c r="P45" s="754" t="str">
        <f>Language!$E$131</f>
        <v>Pts.</v>
      </c>
      <c r="Q45" s="754" t="str">
        <f>Language!$E$132</f>
        <v>GD</v>
      </c>
      <c r="R45" s="847" t="str">
        <f>Language!$E$133</f>
        <v>Goals</v>
      </c>
      <c r="S45" s="848"/>
      <c r="T45" s="848"/>
      <c r="U45" s="746" t="str">
        <f t="array" ref="U45:X45">LEFT(CalcF!$BE$13:$BH$13,$D$4)</f>
        <v>Netherl</v>
      </c>
      <c r="V45" s="744" t="str">
        <v>Japan</v>
      </c>
      <c r="W45" s="744" t="str">
        <v>Sweden</v>
      </c>
      <c r="X45" s="745" t="str">
        <v>Tunisia</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Netherlands</v>
      </c>
      <c r="E46" s="355">
        <f t="array" ref="E46:E49">CalcF!$E$22:$E$25</f>
        <v>0</v>
      </c>
      <c r="F46" s="355">
        <f>G46-I46</f>
        <v>0</v>
      </c>
      <c r="G46" s="741">
        <f t="array" ref="G46:G49">CalcF!$F$22:$F$25</f>
        <v>0</v>
      </c>
      <c r="H46" s="753" t="str">
        <f>Language!$E$197</f>
        <v xml:space="preserve"> - </v>
      </c>
      <c r="I46" s="750">
        <f t="array" ref="I46:I49">CalcF!$G$22:$G$25</f>
        <v>0</v>
      </c>
      <c r="J46" s="747" t="str">
        <f t="array" ref="J46:M49">CalcF!$H$22:$K$25</f>
        <v/>
      </c>
      <c r="K46" s="355" t="str">
        <v/>
      </c>
      <c r="L46" s="355" t="str">
        <v/>
      </c>
      <c r="M46" s="742" t="str">
        <v/>
      </c>
      <c r="O46" s="756" t="str">
        <f t="array" ref="O46:O49">CalcF!$AZ$14:$AZ$17</f>
        <v>Netherlands</v>
      </c>
      <c r="P46" s="355">
        <f t="array" ref="P46:P49">CalcF!$BA$14:$BA$17</f>
        <v>0</v>
      </c>
      <c r="Q46" s="355">
        <f t="array" ref="Q46:Q49">CalcF!$BB$14:$BB$17</f>
        <v>0</v>
      </c>
      <c r="R46" s="741">
        <f t="array" ref="R46:R49">CalcF!$BC$14:$BC$17</f>
        <v>0</v>
      </c>
      <c r="S46" s="753" t="str">
        <f>Language!$E$197</f>
        <v xml:space="preserve"> - </v>
      </c>
      <c r="T46" s="750">
        <f t="shared" ref="T46:T49" si="20">IF(O46="","",R46-Q46)</f>
        <v>0</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7</v>
      </c>
    </row>
    <row r="47" spans="2:49" x14ac:dyDescent="0.3">
      <c r="B47" s="761" t="str">
        <v/>
      </c>
      <c r="D47" s="757" t="str">
        <v>Japan</v>
      </c>
      <c r="E47" s="198">
        <v>0</v>
      </c>
      <c r="F47" s="198">
        <f t="shared" ref="F47:F49" si="23">G47-I47</f>
        <v>0</v>
      </c>
      <c r="G47" s="737">
        <v>0</v>
      </c>
      <c r="H47" s="739" t="str">
        <f>Language!$E$197</f>
        <v xml:space="preserve"> - </v>
      </c>
      <c r="I47" s="751">
        <v>0</v>
      </c>
      <c r="J47" s="748" t="str">
        <v/>
      </c>
      <c r="K47" s="733" t="str">
        <v/>
      </c>
      <c r="L47" s="198" t="str">
        <v/>
      </c>
      <c r="M47" s="734" t="str">
        <v/>
      </c>
      <c r="O47" s="757" t="str">
        <v>Japan</v>
      </c>
      <c r="P47" s="198">
        <v>0</v>
      </c>
      <c r="Q47" s="198">
        <v>0</v>
      </c>
      <c r="R47" s="737">
        <v>0</v>
      </c>
      <c r="S47" s="739" t="str">
        <f>Language!$E$197</f>
        <v xml:space="preserve"> - </v>
      </c>
      <c r="T47" s="751">
        <f t="shared" si="20"/>
        <v>0</v>
      </c>
      <c r="U47" s="748" t="str">
        <v/>
      </c>
      <c r="V47" s="733" t="str">
        <v/>
      </c>
      <c r="W47" s="198" t="str">
        <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18</v>
      </c>
    </row>
    <row r="48" spans="2:49" x14ac:dyDescent="0.3">
      <c r="B48" s="761" t="str">
        <v/>
      </c>
      <c r="D48" s="757" t="str">
        <v>Sweden</v>
      </c>
      <c r="E48" s="198">
        <v>0</v>
      </c>
      <c r="F48" s="198">
        <f t="shared" si="23"/>
        <v>0</v>
      </c>
      <c r="G48" s="737">
        <v>0</v>
      </c>
      <c r="H48" s="739" t="str">
        <f>Language!$E$197</f>
        <v xml:space="preserve"> - </v>
      </c>
      <c r="I48" s="751">
        <v>0</v>
      </c>
      <c r="J48" s="748" t="str">
        <v/>
      </c>
      <c r="K48" s="198" t="str">
        <v/>
      </c>
      <c r="L48" s="733" t="str">
        <v/>
      </c>
      <c r="M48" s="734" t="str">
        <v/>
      </c>
      <c r="O48" s="757" t="str">
        <v>Sweden</v>
      </c>
      <c r="P48" s="198">
        <v>0</v>
      </c>
      <c r="Q48" s="198">
        <v>0</v>
      </c>
      <c r="R48" s="737">
        <v>0</v>
      </c>
      <c r="S48" s="739" t="str">
        <f>Language!$E$197</f>
        <v xml:space="preserve"> - </v>
      </c>
      <c r="T48" s="751">
        <f t="shared" si="20"/>
        <v>0</v>
      </c>
      <c r="U48" s="748" t="str">
        <v/>
      </c>
      <c r="V48" s="198" t="str">
        <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38</v>
      </c>
    </row>
    <row r="49" spans="2:49" ht="15" thickBot="1" x14ac:dyDescent="0.35">
      <c r="B49" s="761" t="str">
        <v/>
      </c>
      <c r="D49" s="758" t="str">
        <v>Tunisia</v>
      </c>
      <c r="E49" s="735">
        <v>0</v>
      </c>
      <c r="F49" s="735">
        <f t="shared" si="23"/>
        <v>0</v>
      </c>
      <c r="G49" s="738">
        <v>0</v>
      </c>
      <c r="H49" s="740" t="str">
        <f>Language!$E$197</f>
        <v xml:space="preserve"> - </v>
      </c>
      <c r="I49" s="752">
        <v>0</v>
      </c>
      <c r="J49" s="749" t="str">
        <v/>
      </c>
      <c r="K49" s="735" t="str">
        <v/>
      </c>
      <c r="L49" s="735" t="str">
        <v/>
      </c>
      <c r="M49" s="736" t="str">
        <v/>
      </c>
      <c r="O49" s="758" t="str">
        <v>Tunisia</v>
      </c>
      <c r="P49" s="735">
        <v>0</v>
      </c>
      <c r="Q49" s="735">
        <v>0</v>
      </c>
      <c r="R49" s="738">
        <v>0</v>
      </c>
      <c r="S49" s="740" t="str">
        <f>Language!$E$197</f>
        <v xml:space="preserve"> - </v>
      </c>
      <c r="T49" s="752">
        <f t="shared" si="20"/>
        <v>0</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
      </c>
      <c r="AK52" s="784" t="str">
        <f>IF(COUNTBLANK(CalcG!$BZ$14:$BZ$17)&lt;4,Language!$E$136,"")</f>
        <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Belgium</v>
      </c>
      <c r="K53" s="744" t="str">
        <v>Egypt</v>
      </c>
      <c r="L53" s="744" t="str">
        <v>IR Iran</v>
      </c>
      <c r="M53" s="745" t="str">
        <v>New Zea</v>
      </c>
      <c r="O53" s="743"/>
      <c r="P53" s="754" t="str">
        <f>Language!$E$131</f>
        <v>Pts.</v>
      </c>
      <c r="Q53" s="754" t="str">
        <f>Language!$E$132</f>
        <v>GD</v>
      </c>
      <c r="R53" s="847" t="str">
        <f>Language!$E$133</f>
        <v>Goals</v>
      </c>
      <c r="S53" s="848"/>
      <c r="T53" s="848"/>
      <c r="U53" s="746" t="str">
        <f t="array" ref="U53:X53">LEFT(CalcG!$BE$13:$BH$13,$D$4)</f>
        <v>Belgium</v>
      </c>
      <c r="V53" s="744" t="str">
        <v>Egypt</v>
      </c>
      <c r="W53" s="744" t="str">
        <v>IR Iran</v>
      </c>
      <c r="X53" s="745" t="str">
        <v>New Zea</v>
      </c>
      <c r="Z53" s="743"/>
      <c r="AA53" s="754" t="str">
        <f>Language!$E$131</f>
        <v>Pts.</v>
      </c>
      <c r="AB53" s="754" t="str">
        <f>Language!$E$132</f>
        <v>GD</v>
      </c>
      <c r="AC53" s="847" t="str">
        <f>Language!$E$133</f>
        <v>Goals</v>
      </c>
      <c r="AD53" s="848"/>
      <c r="AE53" s="848"/>
      <c r="AF53" s="746" t="str">
        <f t="array" ref="AF53:AI53">IF(COUNTBLANK(CalcG!$AZ$22:$AZ$25)&lt;4,LEFT(CalcG!$BE$21:$BH$21,$D$4),LEFT(CalcG!$BS$13:$BV$13,$D$4))</f>
        <v/>
      </c>
      <c r="AG53" s="744" t="str">
        <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
      </c>
      <c r="AT53" s="745" t="str">
        <v/>
      </c>
      <c r="AV53" s="766" t="str">
        <f>Language!$E$123</f>
        <v>Fair play</v>
      </c>
      <c r="AW53" s="767" t="str">
        <f>Language!$E$186</f>
        <v>FIFA Rank</v>
      </c>
    </row>
    <row r="54" spans="2:49" x14ac:dyDescent="0.3">
      <c r="B54" s="761" t="str">
        <f t="array" ref="B54:B57">IF(CalcG!$M$22:$M$25,"•","")</f>
        <v/>
      </c>
      <c r="D54" s="756" t="str">
        <f t="array" ref="D54:D57">CalcG!$D$22:$D$25</f>
        <v>Belgium</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Belgium</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x14ac:dyDescent="0.3">
      <c r="B55" s="761" t="str">
        <v/>
      </c>
      <c r="D55" s="757" t="str">
        <v>Egypt</v>
      </c>
      <c r="E55" s="198">
        <v>0</v>
      </c>
      <c r="F55" s="198">
        <f t="shared" ref="F55:F57" si="27">G55-I55</f>
        <v>0</v>
      </c>
      <c r="G55" s="737">
        <v>0</v>
      </c>
      <c r="H55" s="739" t="str">
        <f>Language!$E$197</f>
        <v xml:space="preserve"> - </v>
      </c>
      <c r="I55" s="751">
        <v>0</v>
      </c>
      <c r="J55" s="748" t="str">
        <v/>
      </c>
      <c r="K55" s="733" t="str">
        <v/>
      </c>
      <c r="L55" s="198" t="str">
        <v/>
      </c>
      <c r="M55" s="734" t="str">
        <v/>
      </c>
      <c r="O55" s="757" t="str">
        <v>Egypt</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x14ac:dyDescent="0.3">
      <c r="B56" s="761" t="str">
        <v/>
      </c>
      <c r="D56" s="757" t="str">
        <v>IR Iran</v>
      </c>
      <c r="E56" s="198">
        <v>0</v>
      </c>
      <c r="F56" s="198">
        <f t="shared" si="27"/>
        <v>0</v>
      </c>
      <c r="G56" s="737">
        <v>0</v>
      </c>
      <c r="H56" s="739" t="str">
        <f>Language!$E$197</f>
        <v xml:space="preserve"> - </v>
      </c>
      <c r="I56" s="751">
        <v>0</v>
      </c>
      <c r="J56" s="748" t="str">
        <v/>
      </c>
      <c r="K56" s="198" t="str">
        <v/>
      </c>
      <c r="L56" s="733" t="str">
        <v/>
      </c>
      <c r="M56" s="734" t="str">
        <v/>
      </c>
      <c r="O56" s="757" t="str">
        <v>IR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 thickBot="1" x14ac:dyDescent="0.35">
      <c r="B57" s="761" t="str">
        <v/>
      </c>
      <c r="D57" s="758" t="str">
        <v>New Zealand</v>
      </c>
      <c r="E57" s="735">
        <v>0</v>
      </c>
      <c r="F57" s="735">
        <f t="shared" si="27"/>
        <v>0</v>
      </c>
      <c r="G57" s="738">
        <v>0</v>
      </c>
      <c r="H57" s="740" t="str">
        <f>Language!$E$197</f>
        <v xml:space="preserve"> - </v>
      </c>
      <c r="I57" s="752">
        <v>0</v>
      </c>
      <c r="J57" s="749" t="str">
        <v/>
      </c>
      <c r="K57" s="735" t="str">
        <v/>
      </c>
      <c r="L57" s="735" t="str">
        <v/>
      </c>
      <c r="M57" s="736" t="str">
        <v/>
      </c>
      <c r="O57" s="758" t="str">
        <v>New Zealand</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 thickTop="1" x14ac:dyDescent="0.3"/>
    <row r="59" spans="2:49" x14ac:dyDescent="0.3"/>
    <row r="60" spans="2:49" ht="15" thickBot="1" x14ac:dyDescent="0.35">
      <c r="Z60" s="784" t="str">
        <f>IF(COUNTBLANK(CalcH!$BN$14:$BN$17)&lt;4,Language!$E$136,"")</f>
        <v/>
      </c>
      <c r="AK60" s="784" t="str">
        <f>IF(COUNTBLANK(CalcH!$BZ$14:$BZ$17)&lt;4,Language!$E$136,"")</f>
        <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Spain</v>
      </c>
      <c r="K61" s="744" t="str">
        <v>Cape Ve</v>
      </c>
      <c r="L61" s="744" t="str">
        <v>Saudi A</v>
      </c>
      <c r="M61" s="745" t="str">
        <v>Uruguay</v>
      </c>
      <c r="O61" s="743"/>
      <c r="P61" s="754" t="str">
        <f>Language!$E$131</f>
        <v>Pts.</v>
      </c>
      <c r="Q61" s="754" t="str">
        <f>Language!$E$132</f>
        <v>GD</v>
      </c>
      <c r="R61" s="847" t="str">
        <f>Language!$E$133</f>
        <v>Goals</v>
      </c>
      <c r="S61" s="848"/>
      <c r="T61" s="848"/>
      <c r="U61" s="746" t="str">
        <f t="array" ref="U61:X61">LEFT(CalcH!$BE$13:$BH$13,$D$4)</f>
        <v>Spain</v>
      </c>
      <c r="V61" s="744" t="str">
        <v>Cape Ve</v>
      </c>
      <c r="W61" s="744" t="str">
        <v>Saudi A</v>
      </c>
      <c r="X61" s="745" t="str">
        <v>Uruguay</v>
      </c>
      <c r="Z61" s="743"/>
      <c r="AA61" s="754" t="str">
        <f>Language!$E$131</f>
        <v>Pts.</v>
      </c>
      <c r="AB61" s="754" t="str">
        <f>Language!$E$132</f>
        <v>GD</v>
      </c>
      <c r="AC61" s="847" t="str">
        <f>Language!$E$133</f>
        <v>Goals</v>
      </c>
      <c r="AD61" s="848"/>
      <c r="AE61" s="848"/>
      <c r="AF61" s="746" t="str">
        <f t="array" ref="AF61:AI61">IF(COUNTBLANK(CalcH!$AZ$22:$AZ$25)&lt;4,LEFT(CalcH!$BE$21:$BH$21,$D$4),LEFT(CalcH!$BS$13:$BV$13,$D$4))</f>
        <v/>
      </c>
      <c r="AG61" s="744" t="str">
        <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
      </c>
      <c r="AT61" s="745" t="str">
        <v/>
      </c>
      <c r="AV61" s="766" t="str">
        <f>Language!$E$123</f>
        <v>Fair play</v>
      </c>
      <c r="AW61" s="767" t="str">
        <f>Language!$E$186</f>
        <v>FIFA Rank</v>
      </c>
    </row>
    <row r="62" spans="2:49" x14ac:dyDescent="0.3">
      <c r="B62" s="761" t="str">
        <f t="array" ref="B62:B65">IF(CalcH!$M$22:$M$25,"•","")</f>
        <v/>
      </c>
      <c r="D62" s="756" t="str">
        <f t="array" ref="D62:D65">CalcH!$D$22:$D$25</f>
        <v>Spain</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Spain</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x14ac:dyDescent="0.3">
      <c r="B63" s="761" t="str">
        <v/>
      </c>
      <c r="D63" s="757" t="str">
        <v>Cape Verde</v>
      </c>
      <c r="E63" s="198">
        <v>0</v>
      </c>
      <c r="F63" s="198">
        <f t="shared" ref="F63:F65" si="31">G63-I63</f>
        <v>0</v>
      </c>
      <c r="G63" s="737">
        <v>0</v>
      </c>
      <c r="H63" s="739" t="str">
        <f>Language!$E$197</f>
        <v xml:space="preserve"> - </v>
      </c>
      <c r="I63" s="751">
        <v>0</v>
      </c>
      <c r="J63" s="748" t="str">
        <v/>
      </c>
      <c r="K63" s="733" t="str">
        <v/>
      </c>
      <c r="L63" s="198" t="str">
        <v/>
      </c>
      <c r="M63" s="734" t="str">
        <v/>
      </c>
      <c r="O63" s="757" t="str">
        <v>Cape Verde</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x14ac:dyDescent="0.3">
      <c r="B64" s="761" t="str">
        <v/>
      </c>
      <c r="D64" s="757" t="str">
        <v>Saudi Arabia</v>
      </c>
      <c r="E64" s="198">
        <v>0</v>
      </c>
      <c r="F64" s="198">
        <f t="shared" si="31"/>
        <v>0</v>
      </c>
      <c r="G64" s="737">
        <v>0</v>
      </c>
      <c r="H64" s="739" t="str">
        <f>Language!$E$197</f>
        <v xml:space="preserve"> - </v>
      </c>
      <c r="I64" s="751">
        <v>0</v>
      </c>
      <c r="J64" s="748" t="str">
        <v/>
      </c>
      <c r="K64" s="198" t="str">
        <v/>
      </c>
      <c r="L64" s="733" t="str">
        <v/>
      </c>
      <c r="M64" s="734" t="str">
        <v/>
      </c>
      <c r="O64" s="757" t="str">
        <v>Saudi Arabia</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 thickBot="1" x14ac:dyDescent="0.35">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x14ac:dyDescent="0.3">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x14ac:dyDescent="0.3">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x14ac:dyDescent="0.35">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x14ac:dyDescent="0.3">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x14ac:dyDescent="0.35">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76" t="str">
        <f>Language!$E$204</f>
        <v>Predictions</v>
      </c>
      <c r="C1" s="876"/>
      <c r="D1" s="876"/>
      <c r="E1" s="876"/>
      <c r="F1" s="876"/>
      <c r="G1" s="876"/>
    </row>
    <row r="2" spans="1:345" ht="18.75" customHeight="1" x14ac:dyDescent="0.55000000000000004">
      <c r="A2" s="194"/>
      <c r="B2" s="194"/>
      <c r="C2" s="50"/>
      <c r="D2" s="50"/>
      <c r="E2" s="50"/>
      <c r="I2" s="865">
        <f>O132</f>
        <v>0</v>
      </c>
      <c r="J2" s="865"/>
      <c r="K2" s="865"/>
      <c r="L2" s="865"/>
      <c r="M2" s="865"/>
      <c r="N2" s="865"/>
      <c r="O2" s="865"/>
      <c r="P2" s="865"/>
      <c r="Q2" s="865"/>
      <c r="R2" s="865"/>
      <c r="S2" s="865"/>
      <c r="T2" s="865"/>
      <c r="V2" s="865">
        <f>AB132</f>
        <v>0</v>
      </c>
      <c r="W2" s="865"/>
      <c r="X2" s="865"/>
      <c r="Y2" s="865"/>
      <c r="Z2" s="865"/>
      <c r="AA2" s="865"/>
      <c r="AB2" s="865"/>
      <c r="AC2" s="865"/>
      <c r="AD2" s="865"/>
      <c r="AE2" s="865"/>
      <c r="AF2" s="865"/>
      <c r="AG2" s="865"/>
      <c r="AI2" s="865">
        <f>AO132</f>
        <v>0</v>
      </c>
      <c r="AJ2" s="865"/>
      <c r="AK2" s="865"/>
      <c r="AL2" s="865"/>
      <c r="AM2" s="865"/>
      <c r="AN2" s="865"/>
      <c r="AO2" s="865"/>
      <c r="AP2" s="865"/>
      <c r="AQ2" s="865"/>
      <c r="AR2" s="865"/>
      <c r="AS2" s="865"/>
      <c r="AT2" s="865"/>
      <c r="AV2" s="865">
        <f>BB132</f>
        <v>0</v>
      </c>
      <c r="AW2" s="865"/>
      <c r="AX2" s="865"/>
      <c r="AY2" s="865"/>
      <c r="AZ2" s="865"/>
      <c r="BA2" s="865"/>
      <c r="BB2" s="865"/>
      <c r="BC2" s="865"/>
      <c r="BD2" s="865"/>
      <c r="BE2" s="865"/>
      <c r="BF2" s="865"/>
      <c r="BG2" s="865"/>
      <c r="BI2" s="865">
        <f>BO132</f>
        <v>0</v>
      </c>
      <c r="BJ2" s="865"/>
      <c r="BK2" s="865"/>
      <c r="BL2" s="865"/>
      <c r="BM2" s="865"/>
      <c r="BN2" s="865"/>
      <c r="BO2" s="865"/>
      <c r="BP2" s="865"/>
      <c r="BQ2" s="865"/>
      <c r="BR2" s="865"/>
      <c r="BS2" s="865"/>
      <c r="BT2" s="865"/>
      <c r="BV2" s="865">
        <f>CB132</f>
        <v>0</v>
      </c>
      <c r="BW2" s="865"/>
      <c r="BX2" s="865"/>
      <c r="BY2" s="865"/>
      <c r="BZ2" s="865"/>
      <c r="CA2" s="865"/>
      <c r="CB2" s="865"/>
      <c r="CC2" s="865"/>
      <c r="CD2" s="865"/>
      <c r="CE2" s="865"/>
      <c r="CF2" s="865"/>
      <c r="CG2" s="865"/>
      <c r="CI2" s="865">
        <f>CO132</f>
        <v>0</v>
      </c>
      <c r="CJ2" s="865"/>
      <c r="CK2" s="865"/>
      <c r="CL2" s="865"/>
      <c r="CM2" s="865"/>
      <c r="CN2" s="865"/>
      <c r="CO2" s="865"/>
      <c r="CP2" s="865"/>
      <c r="CQ2" s="865"/>
      <c r="CR2" s="865"/>
      <c r="CS2" s="865"/>
      <c r="CT2" s="865"/>
      <c r="CV2" s="865">
        <f>DB132</f>
        <v>0</v>
      </c>
      <c r="CW2" s="865"/>
      <c r="CX2" s="865"/>
      <c r="CY2" s="865"/>
      <c r="CZ2" s="865"/>
      <c r="DA2" s="865"/>
      <c r="DB2" s="865"/>
      <c r="DC2" s="865"/>
      <c r="DD2" s="865"/>
      <c r="DE2" s="865"/>
      <c r="DF2" s="865"/>
      <c r="DG2" s="865"/>
      <c r="DI2" s="865">
        <f>DO132</f>
        <v>0</v>
      </c>
      <c r="DJ2" s="865"/>
      <c r="DK2" s="865"/>
      <c r="DL2" s="865"/>
      <c r="DM2" s="865"/>
      <c r="DN2" s="865"/>
      <c r="DO2" s="865"/>
      <c r="DP2" s="865"/>
      <c r="DQ2" s="865"/>
      <c r="DR2" s="865"/>
      <c r="DS2" s="865"/>
      <c r="DT2" s="865"/>
      <c r="DV2" s="865">
        <f>EB132</f>
        <v>0</v>
      </c>
      <c r="DW2" s="865"/>
      <c r="DX2" s="865"/>
      <c r="DY2" s="865"/>
      <c r="DZ2" s="865"/>
      <c r="EA2" s="865"/>
      <c r="EB2" s="865"/>
      <c r="EC2" s="865"/>
      <c r="ED2" s="865"/>
      <c r="EE2" s="865"/>
      <c r="EF2" s="865"/>
      <c r="EG2" s="865"/>
      <c r="EI2" s="865">
        <f>EO132</f>
        <v>0</v>
      </c>
      <c r="EJ2" s="865"/>
      <c r="EK2" s="865"/>
      <c r="EL2" s="865"/>
      <c r="EM2" s="865"/>
      <c r="EN2" s="865"/>
      <c r="EO2" s="865"/>
      <c r="EP2" s="865"/>
      <c r="EQ2" s="865"/>
      <c r="ER2" s="865"/>
      <c r="ES2" s="865"/>
      <c r="ET2" s="865"/>
      <c r="EV2" s="865">
        <f>FB132</f>
        <v>0</v>
      </c>
      <c r="EW2" s="865"/>
      <c r="EX2" s="865"/>
      <c r="EY2" s="865"/>
      <c r="EZ2" s="865"/>
      <c r="FA2" s="865"/>
      <c r="FB2" s="865"/>
      <c r="FC2" s="865"/>
      <c r="FD2" s="865"/>
      <c r="FE2" s="865"/>
      <c r="FF2" s="865"/>
      <c r="FG2" s="865"/>
      <c r="FI2" s="865">
        <f>FO132</f>
        <v>0</v>
      </c>
      <c r="FJ2" s="865"/>
      <c r="FK2" s="865"/>
      <c r="FL2" s="865"/>
      <c r="FM2" s="865"/>
      <c r="FN2" s="865"/>
      <c r="FO2" s="865"/>
      <c r="FP2" s="865"/>
      <c r="FQ2" s="865"/>
      <c r="FR2" s="865"/>
      <c r="FS2" s="865"/>
      <c r="FT2" s="865"/>
      <c r="FV2" s="865">
        <f>GB132</f>
        <v>0</v>
      </c>
      <c r="FW2" s="865"/>
      <c r="FX2" s="865"/>
      <c r="FY2" s="865"/>
      <c r="FZ2" s="865"/>
      <c r="GA2" s="865"/>
      <c r="GB2" s="865"/>
      <c r="GC2" s="865"/>
      <c r="GD2" s="865"/>
      <c r="GE2" s="865"/>
      <c r="GF2" s="865"/>
      <c r="GG2" s="865"/>
      <c r="GI2" s="865">
        <f>GO132</f>
        <v>0</v>
      </c>
      <c r="GJ2" s="865"/>
      <c r="GK2" s="865"/>
      <c r="GL2" s="865"/>
      <c r="GM2" s="865"/>
      <c r="GN2" s="865"/>
      <c r="GO2" s="865"/>
      <c r="GP2" s="865"/>
      <c r="GQ2" s="865"/>
      <c r="GR2" s="865"/>
      <c r="GS2" s="865"/>
      <c r="GT2" s="865"/>
      <c r="GV2" s="865">
        <f>HB132</f>
        <v>0</v>
      </c>
      <c r="GW2" s="865"/>
      <c r="GX2" s="865"/>
      <c r="GY2" s="865"/>
      <c r="GZ2" s="865"/>
      <c r="HA2" s="865"/>
      <c r="HB2" s="865"/>
      <c r="HC2" s="865"/>
      <c r="HD2" s="865"/>
      <c r="HE2" s="865"/>
      <c r="HF2" s="865"/>
      <c r="HG2" s="865"/>
      <c r="HI2" s="865">
        <f>HO132</f>
        <v>0</v>
      </c>
      <c r="HJ2" s="865"/>
      <c r="HK2" s="865"/>
      <c r="HL2" s="865"/>
      <c r="HM2" s="865"/>
      <c r="HN2" s="865"/>
      <c r="HO2" s="865"/>
      <c r="HP2" s="865"/>
      <c r="HQ2" s="865"/>
      <c r="HR2" s="865"/>
      <c r="HS2" s="865"/>
      <c r="HT2" s="865"/>
      <c r="HV2" s="865">
        <f>IB132</f>
        <v>0</v>
      </c>
      <c r="HW2" s="865"/>
      <c r="HX2" s="865"/>
      <c r="HY2" s="865"/>
      <c r="HZ2" s="865"/>
      <c r="IA2" s="865"/>
      <c r="IB2" s="865"/>
      <c r="IC2" s="865"/>
      <c r="ID2" s="865"/>
      <c r="IE2" s="865"/>
      <c r="IF2" s="865"/>
      <c r="IG2" s="865"/>
      <c r="II2" s="865">
        <f>IO132</f>
        <v>0</v>
      </c>
      <c r="IJ2" s="865"/>
      <c r="IK2" s="865"/>
      <c r="IL2" s="865"/>
      <c r="IM2" s="865"/>
      <c r="IN2" s="865"/>
      <c r="IO2" s="865"/>
      <c r="IP2" s="865"/>
      <c r="IQ2" s="865"/>
      <c r="IR2" s="865"/>
      <c r="IS2" s="865"/>
      <c r="IT2" s="865"/>
      <c r="IV2" s="865">
        <f>JB132</f>
        <v>0</v>
      </c>
      <c r="IW2" s="865"/>
      <c r="IX2" s="865"/>
      <c r="IY2" s="865"/>
      <c r="IZ2" s="865"/>
      <c r="JA2" s="865"/>
      <c r="JB2" s="865"/>
      <c r="JC2" s="865"/>
      <c r="JD2" s="865"/>
      <c r="JE2" s="865"/>
      <c r="JF2" s="865"/>
      <c r="JG2" s="865"/>
      <c r="JI2" s="865">
        <f>JO132</f>
        <v>0</v>
      </c>
      <c r="JJ2" s="865"/>
      <c r="JK2" s="865"/>
      <c r="JL2" s="865"/>
      <c r="JM2" s="865"/>
      <c r="JN2" s="865"/>
      <c r="JO2" s="865"/>
      <c r="JP2" s="865"/>
      <c r="JQ2" s="865"/>
      <c r="JR2" s="865"/>
      <c r="JS2" s="865"/>
      <c r="JT2" s="865"/>
      <c r="JV2" s="865">
        <f>KB132</f>
        <v>0</v>
      </c>
      <c r="JW2" s="865"/>
      <c r="JX2" s="865"/>
      <c r="JY2" s="865"/>
      <c r="JZ2" s="865"/>
      <c r="KA2" s="865"/>
      <c r="KB2" s="865"/>
      <c r="KC2" s="865"/>
      <c r="KD2" s="865"/>
      <c r="KE2" s="865"/>
      <c r="KF2" s="865"/>
      <c r="KG2" s="865"/>
      <c r="KI2" s="865">
        <f>KO132</f>
        <v>0</v>
      </c>
      <c r="KJ2" s="865"/>
      <c r="KK2" s="865"/>
      <c r="KL2" s="865"/>
      <c r="KM2" s="865"/>
      <c r="KN2" s="865"/>
      <c r="KO2" s="865"/>
      <c r="KP2" s="865"/>
      <c r="KQ2" s="865"/>
      <c r="KR2" s="865"/>
      <c r="KS2" s="865"/>
      <c r="KT2" s="865"/>
      <c r="KV2" s="865">
        <f>LB132</f>
        <v>0</v>
      </c>
      <c r="KW2" s="865"/>
      <c r="KX2" s="865"/>
      <c r="KY2" s="865"/>
      <c r="KZ2" s="865"/>
      <c r="LA2" s="865"/>
      <c r="LB2" s="865"/>
      <c r="LC2" s="865"/>
      <c r="LD2" s="865"/>
      <c r="LE2" s="865"/>
      <c r="LF2" s="865"/>
      <c r="LG2" s="865"/>
      <c r="LI2" s="865">
        <f>LO132</f>
        <v>0</v>
      </c>
      <c r="LJ2" s="865"/>
      <c r="LK2" s="865"/>
      <c r="LL2" s="865"/>
      <c r="LM2" s="865"/>
      <c r="LN2" s="865"/>
      <c r="LO2" s="865"/>
      <c r="LP2" s="865"/>
      <c r="LQ2" s="865"/>
      <c r="LR2" s="865"/>
      <c r="LS2" s="865"/>
      <c r="LT2" s="865"/>
      <c r="LV2" s="865">
        <f>MB132</f>
        <v>0</v>
      </c>
      <c r="LW2" s="865"/>
      <c r="LX2" s="865"/>
      <c r="LY2" s="865"/>
      <c r="LZ2" s="865"/>
      <c r="MA2" s="865"/>
      <c r="MB2" s="865"/>
      <c r="MC2" s="865"/>
      <c r="MD2" s="865"/>
      <c r="ME2" s="865"/>
      <c r="MF2" s="865"/>
      <c r="MG2" s="865"/>
    </row>
    <row r="3" spans="1:345" ht="24.75" customHeight="1" thickBot="1" x14ac:dyDescent="0.35">
      <c r="A3" s="194"/>
      <c r="B3" s="877" t="str">
        <f>Language!$E$205</f>
        <v>Correct Results</v>
      </c>
      <c r="C3" s="878"/>
      <c r="D3" s="878"/>
      <c r="E3" s="878"/>
      <c r="F3" s="878"/>
      <c r="G3" s="879"/>
      <c r="I3" s="856" t="s">
        <v>560</v>
      </c>
      <c r="J3" s="857"/>
      <c r="K3" s="857"/>
      <c r="L3" s="857"/>
      <c r="M3" s="857"/>
      <c r="N3" s="857"/>
      <c r="O3" s="857"/>
      <c r="P3" s="857"/>
      <c r="Q3" s="857"/>
      <c r="R3" s="857"/>
      <c r="S3" s="857"/>
      <c r="T3" s="858"/>
      <c r="V3" s="856" t="s">
        <v>1643</v>
      </c>
      <c r="W3" s="857"/>
      <c r="X3" s="857"/>
      <c r="Y3" s="857"/>
      <c r="Z3" s="857"/>
      <c r="AA3" s="857"/>
      <c r="AB3" s="857"/>
      <c r="AC3" s="857"/>
      <c r="AD3" s="857"/>
      <c r="AE3" s="857"/>
      <c r="AF3" s="857"/>
      <c r="AG3" s="858"/>
      <c r="AI3" s="856"/>
      <c r="AJ3" s="857"/>
      <c r="AK3" s="857"/>
      <c r="AL3" s="857"/>
      <c r="AM3" s="857"/>
      <c r="AN3" s="857"/>
      <c r="AO3" s="857"/>
      <c r="AP3" s="857"/>
      <c r="AQ3" s="857"/>
      <c r="AR3" s="857"/>
      <c r="AS3" s="857"/>
      <c r="AT3" s="858"/>
      <c r="AV3" s="856"/>
      <c r="AW3" s="857"/>
      <c r="AX3" s="857"/>
      <c r="AY3" s="857"/>
      <c r="AZ3" s="857"/>
      <c r="BA3" s="857"/>
      <c r="BB3" s="857"/>
      <c r="BC3" s="857"/>
      <c r="BD3" s="857"/>
      <c r="BE3" s="857"/>
      <c r="BF3" s="857"/>
      <c r="BG3" s="858"/>
      <c r="BI3" s="856"/>
      <c r="BJ3" s="857"/>
      <c r="BK3" s="857"/>
      <c r="BL3" s="857"/>
      <c r="BM3" s="857"/>
      <c r="BN3" s="857"/>
      <c r="BO3" s="857"/>
      <c r="BP3" s="857"/>
      <c r="BQ3" s="857"/>
      <c r="BR3" s="857"/>
      <c r="BS3" s="857"/>
      <c r="BT3" s="858"/>
      <c r="BV3" s="856"/>
      <c r="BW3" s="857"/>
      <c r="BX3" s="857"/>
      <c r="BY3" s="857"/>
      <c r="BZ3" s="857"/>
      <c r="CA3" s="857"/>
      <c r="CB3" s="857"/>
      <c r="CC3" s="857"/>
      <c r="CD3" s="857"/>
      <c r="CE3" s="857"/>
      <c r="CF3" s="857"/>
      <c r="CG3" s="858"/>
      <c r="CI3" s="856"/>
      <c r="CJ3" s="857"/>
      <c r="CK3" s="857"/>
      <c r="CL3" s="857"/>
      <c r="CM3" s="857"/>
      <c r="CN3" s="857"/>
      <c r="CO3" s="857"/>
      <c r="CP3" s="857"/>
      <c r="CQ3" s="857"/>
      <c r="CR3" s="857"/>
      <c r="CS3" s="857"/>
      <c r="CT3" s="858"/>
      <c r="CV3" s="856"/>
      <c r="CW3" s="857"/>
      <c r="CX3" s="857"/>
      <c r="CY3" s="857"/>
      <c r="CZ3" s="857"/>
      <c r="DA3" s="857"/>
      <c r="DB3" s="857"/>
      <c r="DC3" s="857"/>
      <c r="DD3" s="857"/>
      <c r="DE3" s="857"/>
      <c r="DF3" s="857"/>
      <c r="DG3" s="858"/>
      <c r="DI3" s="856"/>
      <c r="DJ3" s="857"/>
      <c r="DK3" s="857"/>
      <c r="DL3" s="857"/>
      <c r="DM3" s="857"/>
      <c r="DN3" s="857"/>
      <c r="DO3" s="857"/>
      <c r="DP3" s="857"/>
      <c r="DQ3" s="857"/>
      <c r="DR3" s="857"/>
      <c r="DS3" s="857"/>
      <c r="DT3" s="858"/>
      <c r="DV3" s="856"/>
      <c r="DW3" s="857"/>
      <c r="DX3" s="857"/>
      <c r="DY3" s="857"/>
      <c r="DZ3" s="857"/>
      <c r="EA3" s="857"/>
      <c r="EB3" s="857"/>
      <c r="EC3" s="857"/>
      <c r="ED3" s="857"/>
      <c r="EE3" s="857"/>
      <c r="EF3" s="857"/>
      <c r="EG3" s="858"/>
      <c r="EI3" s="856"/>
      <c r="EJ3" s="857"/>
      <c r="EK3" s="857"/>
      <c r="EL3" s="857"/>
      <c r="EM3" s="857"/>
      <c r="EN3" s="857"/>
      <c r="EO3" s="857"/>
      <c r="EP3" s="857"/>
      <c r="EQ3" s="857"/>
      <c r="ER3" s="857"/>
      <c r="ES3" s="857"/>
      <c r="ET3" s="858"/>
      <c r="EV3" s="856"/>
      <c r="EW3" s="857"/>
      <c r="EX3" s="857"/>
      <c r="EY3" s="857"/>
      <c r="EZ3" s="857"/>
      <c r="FA3" s="857"/>
      <c r="FB3" s="857"/>
      <c r="FC3" s="857"/>
      <c r="FD3" s="857"/>
      <c r="FE3" s="857"/>
      <c r="FF3" s="857"/>
      <c r="FG3" s="858"/>
      <c r="FI3" s="856"/>
      <c r="FJ3" s="857"/>
      <c r="FK3" s="857"/>
      <c r="FL3" s="857"/>
      <c r="FM3" s="857"/>
      <c r="FN3" s="857"/>
      <c r="FO3" s="857"/>
      <c r="FP3" s="857"/>
      <c r="FQ3" s="857"/>
      <c r="FR3" s="857"/>
      <c r="FS3" s="857"/>
      <c r="FT3" s="858"/>
      <c r="FV3" s="856"/>
      <c r="FW3" s="857"/>
      <c r="FX3" s="857"/>
      <c r="FY3" s="857"/>
      <c r="FZ3" s="857"/>
      <c r="GA3" s="857"/>
      <c r="GB3" s="857"/>
      <c r="GC3" s="857"/>
      <c r="GD3" s="857"/>
      <c r="GE3" s="857"/>
      <c r="GF3" s="857"/>
      <c r="GG3" s="858"/>
      <c r="GI3" s="856"/>
      <c r="GJ3" s="857"/>
      <c r="GK3" s="857"/>
      <c r="GL3" s="857"/>
      <c r="GM3" s="857"/>
      <c r="GN3" s="857"/>
      <c r="GO3" s="857"/>
      <c r="GP3" s="857"/>
      <c r="GQ3" s="857"/>
      <c r="GR3" s="857"/>
      <c r="GS3" s="857"/>
      <c r="GT3" s="858"/>
      <c r="GV3" s="856"/>
      <c r="GW3" s="857"/>
      <c r="GX3" s="857"/>
      <c r="GY3" s="857"/>
      <c r="GZ3" s="857"/>
      <c r="HA3" s="857"/>
      <c r="HB3" s="857"/>
      <c r="HC3" s="857"/>
      <c r="HD3" s="857"/>
      <c r="HE3" s="857"/>
      <c r="HF3" s="857"/>
      <c r="HG3" s="858"/>
      <c r="HI3" s="856"/>
      <c r="HJ3" s="857"/>
      <c r="HK3" s="857"/>
      <c r="HL3" s="857"/>
      <c r="HM3" s="857"/>
      <c r="HN3" s="857"/>
      <c r="HO3" s="857"/>
      <c r="HP3" s="857"/>
      <c r="HQ3" s="857"/>
      <c r="HR3" s="857"/>
      <c r="HS3" s="857"/>
      <c r="HT3" s="858"/>
      <c r="HV3" s="856"/>
      <c r="HW3" s="857"/>
      <c r="HX3" s="857"/>
      <c r="HY3" s="857"/>
      <c r="HZ3" s="857"/>
      <c r="IA3" s="857"/>
      <c r="IB3" s="857"/>
      <c r="IC3" s="857"/>
      <c r="ID3" s="857"/>
      <c r="IE3" s="857"/>
      <c r="IF3" s="857"/>
      <c r="IG3" s="858"/>
      <c r="II3" s="856"/>
      <c r="IJ3" s="857"/>
      <c r="IK3" s="857"/>
      <c r="IL3" s="857"/>
      <c r="IM3" s="857"/>
      <c r="IN3" s="857"/>
      <c r="IO3" s="857"/>
      <c r="IP3" s="857"/>
      <c r="IQ3" s="857"/>
      <c r="IR3" s="857"/>
      <c r="IS3" s="857"/>
      <c r="IT3" s="858"/>
      <c r="IV3" s="856"/>
      <c r="IW3" s="857"/>
      <c r="IX3" s="857"/>
      <c r="IY3" s="857"/>
      <c r="IZ3" s="857"/>
      <c r="JA3" s="857"/>
      <c r="JB3" s="857"/>
      <c r="JC3" s="857"/>
      <c r="JD3" s="857"/>
      <c r="JE3" s="857"/>
      <c r="JF3" s="857"/>
      <c r="JG3" s="858"/>
      <c r="JI3" s="856"/>
      <c r="JJ3" s="857"/>
      <c r="JK3" s="857"/>
      <c r="JL3" s="857"/>
      <c r="JM3" s="857"/>
      <c r="JN3" s="857"/>
      <c r="JO3" s="857"/>
      <c r="JP3" s="857"/>
      <c r="JQ3" s="857"/>
      <c r="JR3" s="857"/>
      <c r="JS3" s="857"/>
      <c r="JT3" s="858"/>
      <c r="JV3" s="856"/>
      <c r="JW3" s="857"/>
      <c r="JX3" s="857"/>
      <c r="JY3" s="857"/>
      <c r="JZ3" s="857"/>
      <c r="KA3" s="857"/>
      <c r="KB3" s="857"/>
      <c r="KC3" s="857"/>
      <c r="KD3" s="857"/>
      <c r="KE3" s="857"/>
      <c r="KF3" s="857"/>
      <c r="KG3" s="858"/>
      <c r="KI3" s="856"/>
      <c r="KJ3" s="857"/>
      <c r="KK3" s="857"/>
      <c r="KL3" s="857"/>
      <c r="KM3" s="857"/>
      <c r="KN3" s="857"/>
      <c r="KO3" s="857"/>
      <c r="KP3" s="857"/>
      <c r="KQ3" s="857"/>
      <c r="KR3" s="857"/>
      <c r="KS3" s="857"/>
      <c r="KT3" s="858"/>
      <c r="KV3" s="856"/>
      <c r="KW3" s="857"/>
      <c r="KX3" s="857"/>
      <c r="KY3" s="857"/>
      <c r="KZ3" s="857"/>
      <c r="LA3" s="857"/>
      <c r="LB3" s="857"/>
      <c r="LC3" s="857"/>
      <c r="LD3" s="857"/>
      <c r="LE3" s="857"/>
      <c r="LF3" s="857"/>
      <c r="LG3" s="858"/>
      <c r="LI3" s="856"/>
      <c r="LJ3" s="857"/>
      <c r="LK3" s="857"/>
      <c r="LL3" s="857"/>
      <c r="LM3" s="857"/>
      <c r="LN3" s="857"/>
      <c r="LO3" s="857"/>
      <c r="LP3" s="857"/>
      <c r="LQ3" s="857"/>
      <c r="LR3" s="857"/>
      <c r="LS3" s="857"/>
      <c r="LT3" s="858"/>
      <c r="LV3" s="856"/>
      <c r="LW3" s="857"/>
      <c r="LX3" s="857"/>
      <c r="LY3" s="857"/>
      <c r="LZ3" s="857"/>
      <c r="MA3" s="857"/>
      <c r="MB3" s="857"/>
      <c r="MC3" s="857"/>
      <c r="MD3" s="857"/>
      <c r="ME3" s="857"/>
      <c r="MF3" s="857"/>
      <c r="MG3" s="858"/>
    </row>
    <row r="4" spans="1:345" ht="40.5" customHeight="1" thickTop="1" x14ac:dyDescent="0.3">
      <c r="A4" s="194"/>
      <c r="B4" s="214"/>
      <c r="C4" s="215"/>
      <c r="D4" s="215"/>
      <c r="E4" s="216"/>
      <c r="F4" s="880" t="str">
        <f>Language!$E$206</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t="str">
        <f>IF(C90="","",INDEX(Groups!$C$7:$C$65,MATCH(C90,Groups!$D$7:$D$65,0)))</f>
        <v/>
      </c>
      <c r="C90" s="197" t="str">
        <f>'World Cup'!$B$50</f>
        <v/>
      </c>
      <c r="D90" s="198" t="str">
        <f>IF(E90="","",INDEX(Groups!$C$7:$C$65,MATCH(E90,Groups!$D$7:$D$65,0)))</f>
        <v/>
      </c>
      <c r="E90" s="197" t="str">
        <f>'World Cup'!$C$50</f>
        <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65</v>
      </c>
      <c r="E92" s="197" t="str">
        <f>'World Cup'!$I$50</f>
        <v>Bosnia/Herzeg.</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t="str">
        <f>IF(C93="","",INDEX(Groups!$C$7:$C$65,MATCH(C93,Groups!$D$7:$D$65,0)))</f>
        <v/>
      </c>
      <c r="C93" s="197" t="str">
        <f>'World Cup'!$K$50</f>
        <v/>
      </c>
      <c r="D93" s="198" t="str">
        <f>IF(E93="","",INDEX(Groups!$C$7:$C$65,MATCH(E93,Groups!$D$7:$D$65,0)))</f>
        <v/>
      </c>
      <c r="E93" s="197" t="str">
        <f>'World Cup'!$L$50</f>
        <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t="str">
        <f>IF(E96="","",INDEX(Groups!$C$7:$C$65,MATCH(E96,Groups!$D$7:$D$65,0)))</f>
        <v/>
      </c>
      <c r="E96" s="197" t="str">
        <f>'World Cup'!$U$50</f>
        <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t="str">
        <f>IF(C98="","",INDEX(Groups!$C$7:$C$65,MATCH(C98,Groups!$D$7:$D$65,0)))</f>
        <v/>
      </c>
      <c r="C98" s="197" t="str">
        <f>'World Cup'!$Z$50</f>
        <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30</v>
      </c>
      <c r="C104" s="197" t="str">
        <f>'World Cup'!$AR$50</f>
        <v>Canada</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50" t="str">
        <f>Language!$E$245</f>
        <v>Number:</v>
      </c>
      <c r="M130" s="851"/>
      <c r="N130" s="852"/>
      <c r="O130" s="198">
        <f>SUM(O126:O128)</f>
        <v>0</v>
      </c>
      <c r="P130" s="198">
        <f>SUM(P6:P88)</f>
        <v>0</v>
      </c>
      <c r="Q130" s="198">
        <f>SUM(Q6:Q88)</f>
        <v>0</v>
      </c>
      <c r="R130" s="198">
        <f>SUM(R6:R88)</f>
        <v>0</v>
      </c>
      <c r="S130" s="198">
        <f>SUM(S6:S88)</f>
        <v>0</v>
      </c>
      <c r="T130" s="219">
        <f>SUM(T90:T124)</f>
        <v>0</v>
      </c>
      <c r="Y130" s="850" t="str">
        <f>Language!$E$245</f>
        <v>Number:</v>
      </c>
      <c r="Z130" s="851"/>
      <c r="AA130" s="852"/>
      <c r="AB130" s="198">
        <f>SUM(AB126:AB128)</f>
        <v>0</v>
      </c>
      <c r="AC130" s="198">
        <f>SUM(AC6:AC88)</f>
        <v>0</v>
      </c>
      <c r="AD130" s="198">
        <f>SUM(AD6:AD88)</f>
        <v>0</v>
      </c>
      <c r="AE130" s="198">
        <f>SUM(AE6:AE88)</f>
        <v>0</v>
      </c>
      <c r="AF130" s="198">
        <f>SUM(AF6:AF88)</f>
        <v>0</v>
      </c>
      <c r="AG130" s="219">
        <f>SUM(AG90:AG124)</f>
        <v>0</v>
      </c>
      <c r="AL130" s="850" t="str">
        <f>Language!$E$245</f>
        <v>Number:</v>
      </c>
      <c r="AM130" s="851"/>
      <c r="AN130" s="852"/>
      <c r="AO130" s="198">
        <f>SUM(AO126:AO128)</f>
        <v>0</v>
      </c>
      <c r="AP130" s="198">
        <f>SUM(AP6:AP88)</f>
        <v>0</v>
      </c>
      <c r="AQ130" s="198">
        <f>SUM(AQ6:AQ88)</f>
        <v>0</v>
      </c>
      <c r="AR130" s="198">
        <f>SUM(AR6:AR88)</f>
        <v>0</v>
      </c>
      <c r="AS130" s="198">
        <f>SUM(AS6:AS88)</f>
        <v>0</v>
      </c>
      <c r="AT130" s="219">
        <f>SUM(AT90:AT124)</f>
        <v>0</v>
      </c>
      <c r="AY130" s="850" t="str">
        <f>Language!$E$245</f>
        <v>Number:</v>
      </c>
      <c r="AZ130" s="851"/>
      <c r="BA130" s="852"/>
      <c r="BB130" s="198">
        <f>SUM(BB126:BB128)</f>
        <v>0</v>
      </c>
      <c r="BC130" s="198">
        <f>SUM(BC6:BC88)</f>
        <v>0</v>
      </c>
      <c r="BD130" s="198">
        <f>SUM(BD6:BD88)</f>
        <v>0</v>
      </c>
      <c r="BE130" s="198">
        <f>SUM(BE6:BE88)</f>
        <v>0</v>
      </c>
      <c r="BF130" s="198">
        <f>SUM(BF6:BF88)</f>
        <v>0</v>
      </c>
      <c r="BG130" s="219">
        <f>SUM(BG90:BG124)</f>
        <v>0</v>
      </c>
      <c r="BL130" s="850" t="str">
        <f>Language!$E$245</f>
        <v>Number:</v>
      </c>
      <c r="BM130" s="851"/>
      <c r="BN130" s="852"/>
      <c r="BO130" s="198">
        <f>SUM(BO126:BO128)</f>
        <v>0</v>
      </c>
      <c r="BP130" s="198">
        <f>SUM(BP6:BP88)</f>
        <v>0</v>
      </c>
      <c r="BQ130" s="198">
        <f>SUM(BQ6:BQ88)</f>
        <v>0</v>
      </c>
      <c r="BR130" s="198">
        <f>SUM(BR6:BR88)</f>
        <v>0</v>
      </c>
      <c r="BS130" s="198">
        <f>SUM(BS6:BS88)</f>
        <v>0</v>
      </c>
      <c r="BT130" s="219">
        <f>SUM(BT90:BT124)</f>
        <v>0</v>
      </c>
      <c r="BY130" s="850" t="str">
        <f>Language!$E$245</f>
        <v>Number:</v>
      </c>
      <c r="BZ130" s="851"/>
      <c r="CA130" s="852"/>
      <c r="CB130" s="198">
        <f>SUM(CB126:CB128)</f>
        <v>0</v>
      </c>
      <c r="CC130" s="198">
        <f>SUM(CC6:CC88)</f>
        <v>0</v>
      </c>
      <c r="CD130" s="198">
        <f>SUM(CD6:CD88)</f>
        <v>0</v>
      </c>
      <c r="CE130" s="198">
        <f>SUM(CE6:CE88)</f>
        <v>0</v>
      </c>
      <c r="CF130" s="198">
        <f>SUM(CF6:CF88)</f>
        <v>0</v>
      </c>
      <c r="CG130" s="219">
        <f>SUM(CG90:CG124)</f>
        <v>0</v>
      </c>
      <c r="CL130" s="850" t="str">
        <f>Language!$E$245</f>
        <v>Number:</v>
      </c>
      <c r="CM130" s="851"/>
      <c r="CN130" s="852"/>
      <c r="CO130" s="198">
        <f>SUM(CO126:CO128)</f>
        <v>0</v>
      </c>
      <c r="CP130" s="198">
        <f>SUM(CP6:CP88)</f>
        <v>0</v>
      </c>
      <c r="CQ130" s="198">
        <f>SUM(CQ6:CQ88)</f>
        <v>0</v>
      </c>
      <c r="CR130" s="198">
        <f>SUM(CR6:CR88)</f>
        <v>0</v>
      </c>
      <c r="CS130" s="198">
        <f>SUM(CS6:CS88)</f>
        <v>0</v>
      </c>
      <c r="CT130" s="219">
        <f>SUM(CT90:CT124)</f>
        <v>0</v>
      </c>
      <c r="CY130" s="850" t="str">
        <f>Language!$E$245</f>
        <v>Number:</v>
      </c>
      <c r="CZ130" s="851"/>
      <c r="DA130" s="852"/>
      <c r="DB130" s="198">
        <f>SUM(DB126:DB128)</f>
        <v>0</v>
      </c>
      <c r="DC130" s="198">
        <f>SUM(DC6:DC88)</f>
        <v>0</v>
      </c>
      <c r="DD130" s="198">
        <f>SUM(DD6:DD88)</f>
        <v>0</v>
      </c>
      <c r="DE130" s="198">
        <f>SUM(DE6:DE88)</f>
        <v>0</v>
      </c>
      <c r="DF130" s="198">
        <f>SUM(DF6:DF88)</f>
        <v>0</v>
      </c>
      <c r="DG130" s="219">
        <f>SUM(DG90:DG124)</f>
        <v>0</v>
      </c>
      <c r="DL130" s="850" t="str">
        <f>Language!$E$245</f>
        <v>Number:</v>
      </c>
      <c r="DM130" s="851"/>
      <c r="DN130" s="852"/>
      <c r="DO130" s="198">
        <f>SUM(DO126:DO128)</f>
        <v>0</v>
      </c>
      <c r="DP130" s="198">
        <f>SUM(DP6:DP88)</f>
        <v>0</v>
      </c>
      <c r="DQ130" s="198">
        <f>SUM(DQ6:DQ88)</f>
        <v>0</v>
      </c>
      <c r="DR130" s="198">
        <f>SUM(DR6:DR88)</f>
        <v>0</v>
      </c>
      <c r="DS130" s="198">
        <f>SUM(DS6:DS88)</f>
        <v>0</v>
      </c>
      <c r="DT130" s="219">
        <f>SUM(DT90:DT124)</f>
        <v>0</v>
      </c>
      <c r="DY130" s="850" t="str">
        <f>Language!$E$245</f>
        <v>Number:</v>
      </c>
      <c r="DZ130" s="851"/>
      <c r="EA130" s="852"/>
      <c r="EB130" s="198">
        <f>SUM(EB126:EB128)</f>
        <v>0</v>
      </c>
      <c r="EC130" s="198">
        <f>SUM(EC6:EC88)</f>
        <v>0</v>
      </c>
      <c r="ED130" s="198">
        <f>SUM(ED6:ED88)</f>
        <v>0</v>
      </c>
      <c r="EE130" s="198">
        <f>SUM(EE6:EE88)</f>
        <v>0</v>
      </c>
      <c r="EF130" s="198">
        <f>SUM(EF6:EF88)</f>
        <v>0</v>
      </c>
      <c r="EG130" s="219">
        <f>SUM(EG90:EG124)</f>
        <v>0</v>
      </c>
      <c r="EL130" s="850" t="str">
        <f>Language!$E$245</f>
        <v>Number:</v>
      </c>
      <c r="EM130" s="851"/>
      <c r="EN130" s="852"/>
      <c r="EO130" s="198">
        <f>SUM(EO126:EO128)</f>
        <v>0</v>
      </c>
      <c r="EP130" s="198">
        <f>SUM(EP6:EP88)</f>
        <v>0</v>
      </c>
      <c r="EQ130" s="198">
        <f>SUM(EQ6:EQ88)</f>
        <v>0</v>
      </c>
      <c r="ER130" s="198">
        <f>SUM(ER6:ER88)</f>
        <v>0</v>
      </c>
      <c r="ES130" s="198">
        <f>SUM(ES6:ES88)</f>
        <v>0</v>
      </c>
      <c r="ET130" s="219">
        <f>SUM(ET90:ET124)</f>
        <v>0</v>
      </c>
      <c r="EY130" s="850" t="str">
        <f>Language!$E$245</f>
        <v>Number:</v>
      </c>
      <c r="EZ130" s="851"/>
      <c r="FA130" s="852"/>
      <c r="FB130" s="198">
        <f>SUM(FB126:FB128)</f>
        <v>0</v>
      </c>
      <c r="FC130" s="198">
        <f>SUM(FC6:FC88)</f>
        <v>0</v>
      </c>
      <c r="FD130" s="198">
        <f>SUM(FD6:FD88)</f>
        <v>0</v>
      </c>
      <c r="FE130" s="198">
        <f>SUM(FE6:FE88)</f>
        <v>0</v>
      </c>
      <c r="FF130" s="198">
        <f>SUM(FF6:FF88)</f>
        <v>0</v>
      </c>
      <c r="FG130" s="219">
        <f>SUM(FG90:FG124)</f>
        <v>0</v>
      </c>
      <c r="FL130" s="850" t="str">
        <f>Language!$E$245</f>
        <v>Number:</v>
      </c>
      <c r="FM130" s="851"/>
      <c r="FN130" s="852"/>
      <c r="FO130" s="198">
        <f>SUM(FO126:FO128)</f>
        <v>0</v>
      </c>
      <c r="FP130" s="198">
        <f>SUM(FP6:FP88)</f>
        <v>0</v>
      </c>
      <c r="FQ130" s="198">
        <f>SUM(FQ6:FQ88)</f>
        <v>0</v>
      </c>
      <c r="FR130" s="198">
        <f>SUM(FR6:FR88)</f>
        <v>0</v>
      </c>
      <c r="FS130" s="198">
        <f>SUM(FS6:FS88)</f>
        <v>0</v>
      </c>
      <c r="FT130" s="219">
        <f>SUM(FT90:FT124)</f>
        <v>0</v>
      </c>
      <c r="FY130" s="850" t="str">
        <f>Language!$E$245</f>
        <v>Number:</v>
      </c>
      <c r="FZ130" s="851"/>
      <c r="GA130" s="852"/>
      <c r="GB130" s="198">
        <f>SUM(GB126:GB128)</f>
        <v>0</v>
      </c>
      <c r="GC130" s="198">
        <f>SUM(GC6:GC88)</f>
        <v>0</v>
      </c>
      <c r="GD130" s="198">
        <f>SUM(GD6:GD88)</f>
        <v>0</v>
      </c>
      <c r="GE130" s="198">
        <f>SUM(GE6:GE88)</f>
        <v>0</v>
      </c>
      <c r="GF130" s="198">
        <f>SUM(GF6:GF88)</f>
        <v>0</v>
      </c>
      <c r="GG130" s="219">
        <f>SUM(GG90:GG124)</f>
        <v>0</v>
      </c>
      <c r="GL130" s="850" t="str">
        <f>Language!$E$245</f>
        <v>Number:</v>
      </c>
      <c r="GM130" s="851"/>
      <c r="GN130" s="852"/>
      <c r="GO130" s="198">
        <f>SUM(GO126:GO128)</f>
        <v>0</v>
      </c>
      <c r="GP130" s="198">
        <f>SUM(GP6:GP88)</f>
        <v>0</v>
      </c>
      <c r="GQ130" s="198">
        <f>SUM(GQ6:GQ88)</f>
        <v>0</v>
      </c>
      <c r="GR130" s="198">
        <f>SUM(GR6:GR88)</f>
        <v>0</v>
      </c>
      <c r="GS130" s="198">
        <f>SUM(GS6:GS88)</f>
        <v>0</v>
      </c>
      <c r="GT130" s="219">
        <f>SUM(GT90:GT124)</f>
        <v>0</v>
      </c>
      <c r="GY130" s="850" t="str">
        <f>Language!$E$245</f>
        <v>Number:</v>
      </c>
      <c r="GZ130" s="851"/>
      <c r="HA130" s="852"/>
      <c r="HB130" s="198">
        <f>SUM(HB126:HB128)</f>
        <v>0</v>
      </c>
      <c r="HC130" s="198">
        <f>SUM(HC6:HC88)</f>
        <v>0</v>
      </c>
      <c r="HD130" s="198">
        <f>SUM(HD6:HD88)</f>
        <v>0</v>
      </c>
      <c r="HE130" s="198">
        <f>SUM(HE6:HE88)</f>
        <v>0</v>
      </c>
      <c r="HF130" s="198">
        <f>SUM(HF6:HF88)</f>
        <v>0</v>
      </c>
      <c r="HG130" s="219">
        <f>SUM(HG90:HG124)</f>
        <v>0</v>
      </c>
      <c r="HL130" s="850" t="str">
        <f>Language!$E$245</f>
        <v>Number:</v>
      </c>
      <c r="HM130" s="851"/>
      <c r="HN130" s="852"/>
      <c r="HO130" s="198">
        <f>SUM(HO126:HO128)</f>
        <v>0</v>
      </c>
      <c r="HP130" s="198">
        <f>SUM(HP6:HP88)</f>
        <v>0</v>
      </c>
      <c r="HQ130" s="198">
        <f>SUM(HQ6:HQ88)</f>
        <v>0</v>
      </c>
      <c r="HR130" s="198">
        <f>SUM(HR6:HR88)</f>
        <v>0</v>
      </c>
      <c r="HS130" s="198">
        <f>SUM(HS6:HS88)</f>
        <v>0</v>
      </c>
      <c r="HT130" s="219">
        <f>SUM(HT90:HT124)</f>
        <v>0</v>
      </c>
      <c r="HY130" s="850" t="str">
        <f>Language!$E$245</f>
        <v>Number:</v>
      </c>
      <c r="HZ130" s="851"/>
      <c r="IA130" s="852"/>
      <c r="IB130" s="198">
        <f>SUM(IB126:IB128)</f>
        <v>0</v>
      </c>
      <c r="IC130" s="198">
        <f>SUM(IC6:IC88)</f>
        <v>0</v>
      </c>
      <c r="ID130" s="198">
        <f>SUM(ID6:ID88)</f>
        <v>0</v>
      </c>
      <c r="IE130" s="198">
        <f>SUM(IE6:IE88)</f>
        <v>0</v>
      </c>
      <c r="IF130" s="198">
        <f>SUM(IF6:IF88)</f>
        <v>0</v>
      </c>
      <c r="IG130" s="219">
        <f>SUM(IG90:IG124)</f>
        <v>0</v>
      </c>
      <c r="IL130" s="850" t="str">
        <f>Language!$E$245</f>
        <v>Number:</v>
      </c>
      <c r="IM130" s="851"/>
      <c r="IN130" s="852"/>
      <c r="IO130" s="198">
        <f>SUM(IO126:IO128)</f>
        <v>0</v>
      </c>
      <c r="IP130" s="198">
        <f>SUM(IP6:IP88)</f>
        <v>0</v>
      </c>
      <c r="IQ130" s="198">
        <f>SUM(IQ6:IQ88)</f>
        <v>0</v>
      </c>
      <c r="IR130" s="198">
        <f>SUM(IR6:IR88)</f>
        <v>0</v>
      </c>
      <c r="IS130" s="198">
        <f>SUM(IS6:IS88)</f>
        <v>0</v>
      </c>
      <c r="IT130" s="219">
        <f>SUM(IT90:IT124)</f>
        <v>0</v>
      </c>
      <c r="IY130" s="850" t="str">
        <f>Language!$E$245</f>
        <v>Number:</v>
      </c>
      <c r="IZ130" s="851"/>
      <c r="JA130" s="852"/>
      <c r="JB130" s="198">
        <f>SUM(JB126:JB128)</f>
        <v>0</v>
      </c>
      <c r="JC130" s="198">
        <f>SUM(JC6:JC88)</f>
        <v>0</v>
      </c>
      <c r="JD130" s="198">
        <f>SUM(JD6:JD88)</f>
        <v>0</v>
      </c>
      <c r="JE130" s="198">
        <f>SUM(JE6:JE88)</f>
        <v>0</v>
      </c>
      <c r="JF130" s="198">
        <f>SUM(JF6:JF88)</f>
        <v>0</v>
      </c>
      <c r="JG130" s="219">
        <f>SUM(JG90:JG124)</f>
        <v>0</v>
      </c>
      <c r="JL130" s="850" t="str">
        <f>Language!$E$245</f>
        <v>Number:</v>
      </c>
      <c r="JM130" s="851"/>
      <c r="JN130" s="852"/>
      <c r="JO130" s="198">
        <f>SUM(JO126:JO128)</f>
        <v>0</v>
      </c>
      <c r="JP130" s="198">
        <f>SUM(JP6:JP88)</f>
        <v>0</v>
      </c>
      <c r="JQ130" s="198">
        <f>SUM(JQ6:JQ88)</f>
        <v>0</v>
      </c>
      <c r="JR130" s="198">
        <f>SUM(JR6:JR88)</f>
        <v>0</v>
      </c>
      <c r="JS130" s="198">
        <f>SUM(JS6:JS88)</f>
        <v>0</v>
      </c>
      <c r="JT130" s="219">
        <f>SUM(JT90:JT124)</f>
        <v>0</v>
      </c>
      <c r="JY130" s="850" t="str">
        <f>Language!$E$245</f>
        <v>Number:</v>
      </c>
      <c r="JZ130" s="851"/>
      <c r="KA130" s="852"/>
      <c r="KB130" s="198">
        <f>SUM(KB126:KB128)</f>
        <v>0</v>
      </c>
      <c r="KC130" s="198">
        <f>SUM(KC6:KC88)</f>
        <v>0</v>
      </c>
      <c r="KD130" s="198">
        <f>SUM(KD6:KD88)</f>
        <v>0</v>
      </c>
      <c r="KE130" s="198">
        <f>SUM(KE6:KE88)</f>
        <v>0</v>
      </c>
      <c r="KF130" s="198">
        <f>SUM(KF6:KF88)</f>
        <v>0</v>
      </c>
      <c r="KG130" s="219">
        <f>SUM(KG90:KG124)</f>
        <v>0</v>
      </c>
      <c r="KL130" s="850" t="str">
        <f>Language!$E$245</f>
        <v>Number:</v>
      </c>
      <c r="KM130" s="851"/>
      <c r="KN130" s="852"/>
      <c r="KO130" s="198">
        <f>SUM(KO126:KO128)</f>
        <v>0</v>
      </c>
      <c r="KP130" s="198">
        <f>SUM(KP6:KP88)</f>
        <v>0</v>
      </c>
      <c r="KQ130" s="198">
        <f>SUM(KQ6:KQ88)</f>
        <v>0</v>
      </c>
      <c r="KR130" s="198">
        <f>SUM(KR6:KR88)</f>
        <v>0</v>
      </c>
      <c r="KS130" s="198">
        <f>SUM(KS6:KS88)</f>
        <v>0</v>
      </c>
      <c r="KT130" s="219">
        <f>SUM(KT90:KT124)</f>
        <v>0</v>
      </c>
      <c r="KY130" s="850" t="str">
        <f>Language!$E$245</f>
        <v>Number:</v>
      </c>
      <c r="KZ130" s="851"/>
      <c r="LA130" s="852"/>
      <c r="LB130" s="198">
        <f>SUM(LB126:LB128)</f>
        <v>0</v>
      </c>
      <c r="LC130" s="198">
        <f>SUM(LC6:LC88)</f>
        <v>0</v>
      </c>
      <c r="LD130" s="198">
        <f>SUM(LD6:LD88)</f>
        <v>0</v>
      </c>
      <c r="LE130" s="198">
        <f>SUM(LE6:LE88)</f>
        <v>0</v>
      </c>
      <c r="LF130" s="198">
        <f>SUM(LF6:LF88)</f>
        <v>0</v>
      </c>
      <c r="LG130" s="219">
        <f>SUM(LG90:LG124)</f>
        <v>0</v>
      </c>
      <c r="LL130" s="850" t="str">
        <f>Language!$E$245</f>
        <v>Number:</v>
      </c>
      <c r="LM130" s="851"/>
      <c r="LN130" s="852"/>
      <c r="LO130" s="198">
        <f>SUM(LO126:LO128)</f>
        <v>0</v>
      </c>
      <c r="LP130" s="198">
        <f>SUM(LP6:LP88)</f>
        <v>0</v>
      </c>
      <c r="LQ130" s="198">
        <f>SUM(LQ6:LQ88)</f>
        <v>0</v>
      </c>
      <c r="LR130" s="198">
        <f>SUM(LR6:LR88)</f>
        <v>0</v>
      </c>
      <c r="LS130" s="198">
        <f>SUM(LS6:LS88)</f>
        <v>0</v>
      </c>
      <c r="LT130" s="219">
        <f>SUM(LT90:LT124)</f>
        <v>0</v>
      </c>
      <c r="LY130" s="850" t="str">
        <f>Language!$E$245</f>
        <v>Number:</v>
      </c>
      <c r="LZ130" s="851"/>
      <c r="MA130" s="852"/>
      <c r="MB130" s="198">
        <f>SUM(MB126:MB128)</f>
        <v>0</v>
      </c>
      <c r="MC130" s="198">
        <f>SUM(MC6:MC88)</f>
        <v>0</v>
      </c>
      <c r="MD130" s="198">
        <f>SUM(MD6:MD88)</f>
        <v>0</v>
      </c>
      <c r="ME130" s="198">
        <f>SUM(ME6:ME88)</f>
        <v>0</v>
      </c>
      <c r="MF130" s="198">
        <f>SUM(MF6:MF88)</f>
        <v>0</v>
      </c>
      <c r="MG130" s="219">
        <f>SUM(MG90:MG124)</f>
        <v>0</v>
      </c>
    </row>
    <row r="131" spans="2:345" ht="16.2" thickBot="1" x14ac:dyDescent="0.35">
      <c r="L131" s="853" t="str">
        <f>Language!$E$207</f>
        <v>Points:</v>
      </c>
      <c r="M131" s="854"/>
      <c r="N131" s="855"/>
      <c r="O131" s="225">
        <f>O130*PrSettings!$F$9</f>
        <v>0</v>
      </c>
      <c r="P131" s="225">
        <f>P130*PrSettings!$F$4</f>
        <v>0</v>
      </c>
      <c r="Q131" s="225">
        <f>Q130*PrSettings!$F$5</f>
        <v>0</v>
      </c>
      <c r="R131" s="225">
        <f>R130*PrSettings!$F$6</f>
        <v>0</v>
      </c>
      <c r="S131" s="225">
        <f>S130*PrSettings!$F$7</f>
        <v>0</v>
      </c>
      <c r="T131" s="226">
        <f>T130*PrSettings!$F$8</f>
        <v>0</v>
      </c>
      <c r="Y131" s="853" t="str">
        <f>Language!$E$207</f>
        <v>Points:</v>
      </c>
      <c r="Z131" s="854"/>
      <c r="AA131" s="855"/>
      <c r="AB131" s="225">
        <f>AB130*PrSettings!$F$9</f>
        <v>0</v>
      </c>
      <c r="AC131" s="225">
        <f>AC130*PrSettings!$F$4</f>
        <v>0</v>
      </c>
      <c r="AD131" s="225">
        <f>AD130*PrSettings!$F$5</f>
        <v>0</v>
      </c>
      <c r="AE131" s="225">
        <f>AE130*PrSettings!$F$6</f>
        <v>0</v>
      </c>
      <c r="AF131" s="225">
        <f>AF130*PrSettings!$F$7</f>
        <v>0</v>
      </c>
      <c r="AG131" s="226">
        <f>AG130*PrSettings!$F$8</f>
        <v>0</v>
      </c>
      <c r="AL131" s="853" t="str">
        <f>Language!$E$207</f>
        <v>Points:</v>
      </c>
      <c r="AM131" s="854"/>
      <c r="AN131" s="855"/>
      <c r="AO131" s="225">
        <f>AO130*PrSettings!$F$9</f>
        <v>0</v>
      </c>
      <c r="AP131" s="225">
        <f>AP130*PrSettings!$F$4</f>
        <v>0</v>
      </c>
      <c r="AQ131" s="225">
        <f>AQ130*PrSettings!$F$5</f>
        <v>0</v>
      </c>
      <c r="AR131" s="225">
        <f>AR130*PrSettings!$F$6</f>
        <v>0</v>
      </c>
      <c r="AS131" s="225">
        <f>AS130*PrSettings!$F$7</f>
        <v>0</v>
      </c>
      <c r="AT131" s="226">
        <f>AT130*PrSettings!$F$8</f>
        <v>0</v>
      </c>
      <c r="AY131" s="853" t="str">
        <f>Language!$E$207</f>
        <v>Points:</v>
      </c>
      <c r="AZ131" s="854"/>
      <c r="BA131" s="855"/>
      <c r="BB131" s="225">
        <f>BB130*PrSettings!$F$9</f>
        <v>0</v>
      </c>
      <c r="BC131" s="225">
        <f>BC130*PrSettings!$F$4</f>
        <v>0</v>
      </c>
      <c r="BD131" s="225">
        <f>BD130*PrSettings!$F$5</f>
        <v>0</v>
      </c>
      <c r="BE131" s="225">
        <f>BE130*PrSettings!$F$6</f>
        <v>0</v>
      </c>
      <c r="BF131" s="225">
        <f>BF130*PrSettings!$F$7</f>
        <v>0</v>
      </c>
      <c r="BG131" s="226">
        <f>BG130*PrSettings!$F$8</f>
        <v>0</v>
      </c>
      <c r="BL131" s="853" t="str">
        <f>Language!$E$207</f>
        <v>Points:</v>
      </c>
      <c r="BM131" s="854"/>
      <c r="BN131" s="855"/>
      <c r="BO131" s="225">
        <f>BO130*PrSettings!$F$9</f>
        <v>0</v>
      </c>
      <c r="BP131" s="225">
        <f>BP130*PrSettings!$F$4</f>
        <v>0</v>
      </c>
      <c r="BQ131" s="225">
        <f>BQ130*PrSettings!$F$5</f>
        <v>0</v>
      </c>
      <c r="BR131" s="225">
        <f>BR130*PrSettings!$F$6</f>
        <v>0</v>
      </c>
      <c r="BS131" s="225">
        <f>BS130*PrSettings!$F$7</f>
        <v>0</v>
      </c>
      <c r="BT131" s="226">
        <f>BT130*PrSettings!$F$8</f>
        <v>0</v>
      </c>
      <c r="BY131" s="853" t="str">
        <f>Language!$E$207</f>
        <v>Points:</v>
      </c>
      <c r="BZ131" s="854"/>
      <c r="CA131" s="855"/>
      <c r="CB131" s="225">
        <f>CB130*PrSettings!$F$9</f>
        <v>0</v>
      </c>
      <c r="CC131" s="225">
        <f>CC130*PrSettings!$F$4</f>
        <v>0</v>
      </c>
      <c r="CD131" s="225">
        <f>CD130*PrSettings!$F$5</f>
        <v>0</v>
      </c>
      <c r="CE131" s="225">
        <f>CE130*PrSettings!$F$6</f>
        <v>0</v>
      </c>
      <c r="CF131" s="225">
        <f>CF130*PrSettings!$F$7</f>
        <v>0</v>
      </c>
      <c r="CG131" s="226">
        <f>CG130*PrSettings!$F$8</f>
        <v>0</v>
      </c>
      <c r="CL131" s="853" t="str">
        <f>Language!$E$207</f>
        <v>Points:</v>
      </c>
      <c r="CM131" s="854"/>
      <c r="CN131" s="855"/>
      <c r="CO131" s="225">
        <f>CO130*PrSettings!$F$9</f>
        <v>0</v>
      </c>
      <c r="CP131" s="225">
        <f>CP130*PrSettings!$F$4</f>
        <v>0</v>
      </c>
      <c r="CQ131" s="225">
        <f>CQ130*PrSettings!$F$5</f>
        <v>0</v>
      </c>
      <c r="CR131" s="225">
        <f>CR130*PrSettings!$F$6</f>
        <v>0</v>
      </c>
      <c r="CS131" s="225">
        <f>CS130*PrSettings!$F$7</f>
        <v>0</v>
      </c>
      <c r="CT131" s="226">
        <f>CT130*PrSettings!$F$8</f>
        <v>0</v>
      </c>
      <c r="CY131" s="853" t="str">
        <f>Language!$E$207</f>
        <v>Points:</v>
      </c>
      <c r="CZ131" s="854"/>
      <c r="DA131" s="855"/>
      <c r="DB131" s="225">
        <f>DB130*PrSettings!$F$9</f>
        <v>0</v>
      </c>
      <c r="DC131" s="225">
        <f>DC130*PrSettings!$F$4</f>
        <v>0</v>
      </c>
      <c r="DD131" s="225">
        <f>DD130*PrSettings!$F$5</f>
        <v>0</v>
      </c>
      <c r="DE131" s="225">
        <f>DE130*PrSettings!$F$6</f>
        <v>0</v>
      </c>
      <c r="DF131" s="225">
        <f>DF130*PrSettings!$F$7</f>
        <v>0</v>
      </c>
      <c r="DG131" s="226">
        <f>DG130*PrSettings!$F$8</f>
        <v>0</v>
      </c>
      <c r="DL131" s="853" t="str">
        <f>Language!$E$207</f>
        <v>Points:</v>
      </c>
      <c r="DM131" s="854"/>
      <c r="DN131" s="855"/>
      <c r="DO131" s="225">
        <f>DO130*PrSettings!$F$9</f>
        <v>0</v>
      </c>
      <c r="DP131" s="225">
        <f>DP130*PrSettings!$F$4</f>
        <v>0</v>
      </c>
      <c r="DQ131" s="225">
        <f>DQ130*PrSettings!$F$5</f>
        <v>0</v>
      </c>
      <c r="DR131" s="225">
        <f>DR130*PrSettings!$F$6</f>
        <v>0</v>
      </c>
      <c r="DS131" s="225">
        <f>DS130*PrSettings!$F$7</f>
        <v>0</v>
      </c>
      <c r="DT131" s="226">
        <f>DT130*PrSettings!$F$8</f>
        <v>0</v>
      </c>
      <c r="DY131" s="853" t="str">
        <f>Language!$E$207</f>
        <v>Points:</v>
      </c>
      <c r="DZ131" s="854"/>
      <c r="EA131" s="855"/>
      <c r="EB131" s="225">
        <f>EB130*PrSettings!$F$9</f>
        <v>0</v>
      </c>
      <c r="EC131" s="225">
        <f>EC130*PrSettings!$F$4</f>
        <v>0</v>
      </c>
      <c r="ED131" s="225">
        <f>ED130*PrSettings!$F$5</f>
        <v>0</v>
      </c>
      <c r="EE131" s="225">
        <f>EE130*PrSettings!$F$6</f>
        <v>0</v>
      </c>
      <c r="EF131" s="225">
        <f>EF130*PrSettings!$F$7</f>
        <v>0</v>
      </c>
      <c r="EG131" s="226">
        <f>EG130*PrSettings!$F$8</f>
        <v>0</v>
      </c>
      <c r="EL131" s="853" t="str">
        <f>Language!$E$207</f>
        <v>Points:</v>
      </c>
      <c r="EM131" s="854"/>
      <c r="EN131" s="855"/>
      <c r="EO131" s="225">
        <f>EO130*PrSettings!$F$9</f>
        <v>0</v>
      </c>
      <c r="EP131" s="225">
        <f>EP130*PrSettings!$F$4</f>
        <v>0</v>
      </c>
      <c r="EQ131" s="225">
        <f>EQ130*PrSettings!$F$5</f>
        <v>0</v>
      </c>
      <c r="ER131" s="225">
        <f>ER130*PrSettings!$F$6</f>
        <v>0</v>
      </c>
      <c r="ES131" s="225">
        <f>ES130*PrSettings!$F$7</f>
        <v>0</v>
      </c>
      <c r="ET131" s="226">
        <f>ET130*PrSettings!$F$8</f>
        <v>0</v>
      </c>
      <c r="EY131" s="853" t="str">
        <f>Language!$E$207</f>
        <v>Points:</v>
      </c>
      <c r="EZ131" s="854"/>
      <c r="FA131" s="855"/>
      <c r="FB131" s="225">
        <f>FB130*PrSettings!$F$9</f>
        <v>0</v>
      </c>
      <c r="FC131" s="225">
        <f>FC130*PrSettings!$F$4</f>
        <v>0</v>
      </c>
      <c r="FD131" s="225">
        <f>FD130*PrSettings!$F$5</f>
        <v>0</v>
      </c>
      <c r="FE131" s="225">
        <f>FE130*PrSettings!$F$6</f>
        <v>0</v>
      </c>
      <c r="FF131" s="225">
        <f>FF130*PrSettings!$F$7</f>
        <v>0</v>
      </c>
      <c r="FG131" s="226">
        <f>FG130*PrSettings!$F$8</f>
        <v>0</v>
      </c>
      <c r="FL131" s="853" t="str">
        <f>Language!$E$207</f>
        <v>Points:</v>
      </c>
      <c r="FM131" s="854"/>
      <c r="FN131" s="855"/>
      <c r="FO131" s="225">
        <f>FO130*PrSettings!$F$9</f>
        <v>0</v>
      </c>
      <c r="FP131" s="225">
        <f>FP130*PrSettings!$F$4</f>
        <v>0</v>
      </c>
      <c r="FQ131" s="225">
        <f>FQ130*PrSettings!$F$5</f>
        <v>0</v>
      </c>
      <c r="FR131" s="225">
        <f>FR130*PrSettings!$F$6</f>
        <v>0</v>
      </c>
      <c r="FS131" s="225">
        <f>FS130*PrSettings!$F$7</f>
        <v>0</v>
      </c>
      <c r="FT131" s="226">
        <f>FT130*PrSettings!$F$8</f>
        <v>0</v>
      </c>
      <c r="FY131" s="853" t="str">
        <f>Language!$E$207</f>
        <v>Points:</v>
      </c>
      <c r="FZ131" s="854"/>
      <c r="GA131" s="855"/>
      <c r="GB131" s="225">
        <f>GB130*PrSettings!$F$9</f>
        <v>0</v>
      </c>
      <c r="GC131" s="225">
        <f>GC130*PrSettings!$F$4</f>
        <v>0</v>
      </c>
      <c r="GD131" s="225">
        <f>GD130*PrSettings!$F$5</f>
        <v>0</v>
      </c>
      <c r="GE131" s="225">
        <f>GE130*PrSettings!$F$6</f>
        <v>0</v>
      </c>
      <c r="GF131" s="225">
        <f>GF130*PrSettings!$F$7</f>
        <v>0</v>
      </c>
      <c r="GG131" s="226">
        <f>GG130*PrSettings!$F$8</f>
        <v>0</v>
      </c>
      <c r="GL131" s="853" t="str">
        <f>Language!$E$207</f>
        <v>Points:</v>
      </c>
      <c r="GM131" s="854"/>
      <c r="GN131" s="855"/>
      <c r="GO131" s="225">
        <f>GO130*PrSettings!$F$9</f>
        <v>0</v>
      </c>
      <c r="GP131" s="225">
        <f>GP130*PrSettings!$F$4</f>
        <v>0</v>
      </c>
      <c r="GQ131" s="225">
        <f>GQ130*PrSettings!$F$5</f>
        <v>0</v>
      </c>
      <c r="GR131" s="225">
        <f>GR130*PrSettings!$F$6</f>
        <v>0</v>
      </c>
      <c r="GS131" s="225">
        <f>GS130*PrSettings!$F$7</f>
        <v>0</v>
      </c>
      <c r="GT131" s="226">
        <f>GT130*PrSettings!$F$8</f>
        <v>0</v>
      </c>
      <c r="GY131" s="853" t="str">
        <f>Language!$E$207</f>
        <v>Points:</v>
      </c>
      <c r="GZ131" s="854"/>
      <c r="HA131" s="855"/>
      <c r="HB131" s="225">
        <f>HB130*PrSettings!$F$9</f>
        <v>0</v>
      </c>
      <c r="HC131" s="225">
        <f>HC130*PrSettings!$F$4</f>
        <v>0</v>
      </c>
      <c r="HD131" s="225">
        <f>HD130*PrSettings!$F$5</f>
        <v>0</v>
      </c>
      <c r="HE131" s="225">
        <f>HE130*PrSettings!$F$6</f>
        <v>0</v>
      </c>
      <c r="HF131" s="225">
        <f>HF130*PrSettings!$F$7</f>
        <v>0</v>
      </c>
      <c r="HG131" s="226">
        <f>HG130*PrSettings!$F$8</f>
        <v>0</v>
      </c>
      <c r="HL131" s="853" t="str">
        <f>Language!$E$207</f>
        <v>Points:</v>
      </c>
      <c r="HM131" s="854"/>
      <c r="HN131" s="855"/>
      <c r="HO131" s="225">
        <f>HO130*PrSettings!$F$9</f>
        <v>0</v>
      </c>
      <c r="HP131" s="225">
        <f>HP130*PrSettings!$F$4</f>
        <v>0</v>
      </c>
      <c r="HQ131" s="225">
        <f>HQ130*PrSettings!$F$5</f>
        <v>0</v>
      </c>
      <c r="HR131" s="225">
        <f>HR130*PrSettings!$F$6</f>
        <v>0</v>
      </c>
      <c r="HS131" s="225">
        <f>HS130*PrSettings!$F$7</f>
        <v>0</v>
      </c>
      <c r="HT131" s="226">
        <f>HT130*PrSettings!$F$8</f>
        <v>0</v>
      </c>
      <c r="HY131" s="853" t="str">
        <f>Language!$E$207</f>
        <v>Points:</v>
      </c>
      <c r="HZ131" s="854"/>
      <c r="IA131" s="855"/>
      <c r="IB131" s="225">
        <f>IB130*PrSettings!$F$9</f>
        <v>0</v>
      </c>
      <c r="IC131" s="225">
        <f>IC130*PrSettings!$F$4</f>
        <v>0</v>
      </c>
      <c r="ID131" s="225">
        <f>ID130*PrSettings!$F$5</f>
        <v>0</v>
      </c>
      <c r="IE131" s="225">
        <f>IE130*PrSettings!$F$6</f>
        <v>0</v>
      </c>
      <c r="IF131" s="225">
        <f>IF130*PrSettings!$F$7</f>
        <v>0</v>
      </c>
      <c r="IG131" s="226">
        <f>IG130*PrSettings!$F$8</f>
        <v>0</v>
      </c>
      <c r="IL131" s="853" t="str">
        <f>Language!$E$207</f>
        <v>Points:</v>
      </c>
      <c r="IM131" s="854"/>
      <c r="IN131" s="855"/>
      <c r="IO131" s="225">
        <f>IO130*PrSettings!$F$9</f>
        <v>0</v>
      </c>
      <c r="IP131" s="225">
        <f>IP130*PrSettings!$F$4</f>
        <v>0</v>
      </c>
      <c r="IQ131" s="225">
        <f>IQ130*PrSettings!$F$5</f>
        <v>0</v>
      </c>
      <c r="IR131" s="225">
        <f>IR130*PrSettings!$F$6</f>
        <v>0</v>
      </c>
      <c r="IS131" s="225">
        <f>IS130*PrSettings!$F$7</f>
        <v>0</v>
      </c>
      <c r="IT131" s="226">
        <f>IT130*PrSettings!$F$8</f>
        <v>0</v>
      </c>
      <c r="IY131" s="853" t="str">
        <f>Language!$E$207</f>
        <v>Points:</v>
      </c>
      <c r="IZ131" s="854"/>
      <c r="JA131" s="855"/>
      <c r="JB131" s="225">
        <f>JB130*PrSettings!$F$9</f>
        <v>0</v>
      </c>
      <c r="JC131" s="225">
        <f>JC130*PrSettings!$F$4</f>
        <v>0</v>
      </c>
      <c r="JD131" s="225">
        <f>JD130*PrSettings!$F$5</f>
        <v>0</v>
      </c>
      <c r="JE131" s="225">
        <f>JE130*PrSettings!$F$6</f>
        <v>0</v>
      </c>
      <c r="JF131" s="225">
        <f>JF130*PrSettings!$F$7</f>
        <v>0</v>
      </c>
      <c r="JG131" s="226">
        <f>JG130*PrSettings!$F$8</f>
        <v>0</v>
      </c>
      <c r="JL131" s="853" t="str">
        <f>Language!$E$207</f>
        <v>Points:</v>
      </c>
      <c r="JM131" s="854"/>
      <c r="JN131" s="855"/>
      <c r="JO131" s="225">
        <f>JO130*PrSettings!$F$9</f>
        <v>0</v>
      </c>
      <c r="JP131" s="225">
        <f>JP130*PrSettings!$F$4</f>
        <v>0</v>
      </c>
      <c r="JQ131" s="225">
        <f>JQ130*PrSettings!$F$5</f>
        <v>0</v>
      </c>
      <c r="JR131" s="225">
        <f>JR130*PrSettings!$F$6</f>
        <v>0</v>
      </c>
      <c r="JS131" s="225">
        <f>JS130*PrSettings!$F$7</f>
        <v>0</v>
      </c>
      <c r="JT131" s="226">
        <f>JT130*PrSettings!$F$8</f>
        <v>0</v>
      </c>
      <c r="JY131" s="853" t="str">
        <f>Language!$E$207</f>
        <v>Points:</v>
      </c>
      <c r="JZ131" s="854"/>
      <c r="KA131" s="855"/>
      <c r="KB131" s="225">
        <f>KB130*PrSettings!$F$9</f>
        <v>0</v>
      </c>
      <c r="KC131" s="225">
        <f>KC130*PrSettings!$F$4</f>
        <v>0</v>
      </c>
      <c r="KD131" s="225">
        <f>KD130*PrSettings!$F$5</f>
        <v>0</v>
      </c>
      <c r="KE131" s="225">
        <f>KE130*PrSettings!$F$6</f>
        <v>0</v>
      </c>
      <c r="KF131" s="225">
        <f>KF130*PrSettings!$F$7</f>
        <v>0</v>
      </c>
      <c r="KG131" s="226">
        <f>KG130*PrSettings!$F$8</f>
        <v>0</v>
      </c>
      <c r="KL131" s="853" t="str">
        <f>Language!$E$207</f>
        <v>Points:</v>
      </c>
      <c r="KM131" s="854"/>
      <c r="KN131" s="855"/>
      <c r="KO131" s="225">
        <f>KO130*PrSettings!$F$9</f>
        <v>0</v>
      </c>
      <c r="KP131" s="225">
        <f>KP130*PrSettings!$F$4</f>
        <v>0</v>
      </c>
      <c r="KQ131" s="225">
        <f>KQ130*PrSettings!$F$5</f>
        <v>0</v>
      </c>
      <c r="KR131" s="225">
        <f>KR130*PrSettings!$F$6</f>
        <v>0</v>
      </c>
      <c r="KS131" s="225">
        <f>KS130*PrSettings!$F$7</f>
        <v>0</v>
      </c>
      <c r="KT131" s="226">
        <f>KT130*PrSettings!$F$8</f>
        <v>0</v>
      </c>
      <c r="KY131" s="853" t="str">
        <f>Language!$E$207</f>
        <v>Points:</v>
      </c>
      <c r="KZ131" s="854"/>
      <c r="LA131" s="855"/>
      <c r="LB131" s="225">
        <f>LB130*PrSettings!$F$9</f>
        <v>0</v>
      </c>
      <c r="LC131" s="225">
        <f>LC130*PrSettings!$F$4</f>
        <v>0</v>
      </c>
      <c r="LD131" s="225">
        <f>LD130*PrSettings!$F$5</f>
        <v>0</v>
      </c>
      <c r="LE131" s="225">
        <f>LE130*PrSettings!$F$6</f>
        <v>0</v>
      </c>
      <c r="LF131" s="225">
        <f>LF130*PrSettings!$F$7</f>
        <v>0</v>
      </c>
      <c r="LG131" s="226">
        <f>LG130*PrSettings!$F$8</f>
        <v>0</v>
      </c>
      <c r="LL131" s="853" t="str">
        <f>Language!$E$207</f>
        <v>Points:</v>
      </c>
      <c r="LM131" s="854"/>
      <c r="LN131" s="855"/>
      <c r="LO131" s="225">
        <f>LO130*PrSettings!$F$9</f>
        <v>0</v>
      </c>
      <c r="LP131" s="225">
        <f>LP130*PrSettings!$F$4</f>
        <v>0</v>
      </c>
      <c r="LQ131" s="225">
        <f>LQ130*PrSettings!$F$5</f>
        <v>0</v>
      </c>
      <c r="LR131" s="225">
        <f>LR130*PrSettings!$F$6</f>
        <v>0</v>
      </c>
      <c r="LS131" s="225">
        <f>LS130*PrSettings!$F$7</f>
        <v>0</v>
      </c>
      <c r="LT131" s="226">
        <f>LT130*PrSettings!$F$8</f>
        <v>0</v>
      </c>
      <c r="LY131" s="853" t="str">
        <f>Language!$E$207</f>
        <v>Points:</v>
      </c>
      <c r="LZ131" s="854"/>
      <c r="MA131" s="855"/>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59" t="str">
        <f>Language!$E$208</f>
        <v>Sum:</v>
      </c>
      <c r="M132" s="860"/>
      <c r="N132" s="861"/>
      <c r="O132" s="862">
        <f>SUM(O131:T131)</f>
        <v>0</v>
      </c>
      <c r="P132" s="863"/>
      <c r="Q132" s="863"/>
      <c r="R132" s="863"/>
      <c r="S132" s="863"/>
      <c r="T132" s="864"/>
      <c r="Y132" s="859" t="str">
        <f>Language!$E$208</f>
        <v>Sum:</v>
      </c>
      <c r="Z132" s="860"/>
      <c r="AA132" s="861"/>
      <c r="AB132" s="862">
        <f>SUM(AB131:AG131)</f>
        <v>0</v>
      </c>
      <c r="AC132" s="863"/>
      <c r="AD132" s="863"/>
      <c r="AE132" s="863"/>
      <c r="AF132" s="863"/>
      <c r="AG132" s="864"/>
      <c r="AL132" s="859" t="str">
        <f>Language!$E$208</f>
        <v>Sum:</v>
      </c>
      <c r="AM132" s="860"/>
      <c r="AN132" s="861"/>
      <c r="AO132" s="862">
        <f>SUM(AO131:AT131)</f>
        <v>0</v>
      </c>
      <c r="AP132" s="863"/>
      <c r="AQ132" s="863"/>
      <c r="AR132" s="863"/>
      <c r="AS132" s="863"/>
      <c r="AT132" s="864"/>
      <c r="AY132" s="859" t="str">
        <f>Language!$E$208</f>
        <v>Sum:</v>
      </c>
      <c r="AZ132" s="860"/>
      <c r="BA132" s="861"/>
      <c r="BB132" s="862">
        <f>SUM(BB131:BG131)</f>
        <v>0</v>
      </c>
      <c r="BC132" s="863"/>
      <c r="BD132" s="863"/>
      <c r="BE132" s="863"/>
      <c r="BF132" s="863"/>
      <c r="BG132" s="864"/>
      <c r="BL132" s="859" t="str">
        <f>Language!$E$208</f>
        <v>Sum:</v>
      </c>
      <c r="BM132" s="860"/>
      <c r="BN132" s="861"/>
      <c r="BO132" s="862">
        <f>SUM(BO131:BT131)</f>
        <v>0</v>
      </c>
      <c r="BP132" s="863"/>
      <c r="BQ132" s="863"/>
      <c r="BR132" s="863"/>
      <c r="BS132" s="863"/>
      <c r="BT132" s="864"/>
      <c r="BY132" s="859" t="str">
        <f>Language!$E$208</f>
        <v>Sum:</v>
      </c>
      <c r="BZ132" s="860"/>
      <c r="CA132" s="861"/>
      <c r="CB132" s="862">
        <f>SUM(CB131:CG131)</f>
        <v>0</v>
      </c>
      <c r="CC132" s="863"/>
      <c r="CD132" s="863"/>
      <c r="CE132" s="863"/>
      <c r="CF132" s="863"/>
      <c r="CG132" s="864"/>
      <c r="CL132" s="859" t="str">
        <f>Language!$E$208</f>
        <v>Sum:</v>
      </c>
      <c r="CM132" s="860"/>
      <c r="CN132" s="861"/>
      <c r="CO132" s="862">
        <f>SUM(CO131:CT131)</f>
        <v>0</v>
      </c>
      <c r="CP132" s="863"/>
      <c r="CQ132" s="863"/>
      <c r="CR132" s="863"/>
      <c r="CS132" s="863"/>
      <c r="CT132" s="864"/>
      <c r="CY132" s="859" t="str">
        <f>Language!$E$208</f>
        <v>Sum:</v>
      </c>
      <c r="CZ132" s="860"/>
      <c r="DA132" s="861"/>
      <c r="DB132" s="862">
        <f>SUM(DB131:DG131)</f>
        <v>0</v>
      </c>
      <c r="DC132" s="863"/>
      <c r="DD132" s="863"/>
      <c r="DE132" s="863"/>
      <c r="DF132" s="863"/>
      <c r="DG132" s="864"/>
      <c r="DL132" s="859" t="str">
        <f>Language!$E$208</f>
        <v>Sum:</v>
      </c>
      <c r="DM132" s="860"/>
      <c r="DN132" s="861"/>
      <c r="DO132" s="862">
        <f>SUM(DO131:DT131)</f>
        <v>0</v>
      </c>
      <c r="DP132" s="863"/>
      <c r="DQ132" s="863"/>
      <c r="DR132" s="863"/>
      <c r="DS132" s="863"/>
      <c r="DT132" s="864"/>
      <c r="DY132" s="859" t="str">
        <f>Language!$E$208</f>
        <v>Sum:</v>
      </c>
      <c r="DZ132" s="860"/>
      <c r="EA132" s="861"/>
      <c r="EB132" s="862">
        <f>SUM(EB131:EG131)</f>
        <v>0</v>
      </c>
      <c r="EC132" s="863"/>
      <c r="ED132" s="863"/>
      <c r="EE132" s="863"/>
      <c r="EF132" s="863"/>
      <c r="EG132" s="864"/>
      <c r="EL132" s="859" t="str">
        <f>Language!$E$208</f>
        <v>Sum:</v>
      </c>
      <c r="EM132" s="860"/>
      <c r="EN132" s="861"/>
      <c r="EO132" s="862">
        <f>SUM(EO131:ET131)</f>
        <v>0</v>
      </c>
      <c r="EP132" s="863"/>
      <c r="EQ132" s="863"/>
      <c r="ER132" s="863"/>
      <c r="ES132" s="863"/>
      <c r="ET132" s="864"/>
      <c r="EY132" s="859" t="str">
        <f>Language!$E$208</f>
        <v>Sum:</v>
      </c>
      <c r="EZ132" s="860"/>
      <c r="FA132" s="861"/>
      <c r="FB132" s="862">
        <f>SUM(FB131:FG131)</f>
        <v>0</v>
      </c>
      <c r="FC132" s="863"/>
      <c r="FD132" s="863"/>
      <c r="FE132" s="863"/>
      <c r="FF132" s="863"/>
      <c r="FG132" s="864"/>
      <c r="FL132" s="859" t="str">
        <f>Language!$E$208</f>
        <v>Sum:</v>
      </c>
      <c r="FM132" s="860"/>
      <c r="FN132" s="861"/>
      <c r="FO132" s="862">
        <f>SUM(FO131:FT131)</f>
        <v>0</v>
      </c>
      <c r="FP132" s="863"/>
      <c r="FQ132" s="863"/>
      <c r="FR132" s="863"/>
      <c r="FS132" s="863"/>
      <c r="FT132" s="864"/>
      <c r="FY132" s="859" t="str">
        <f>Language!$E$208</f>
        <v>Sum:</v>
      </c>
      <c r="FZ132" s="860"/>
      <c r="GA132" s="861"/>
      <c r="GB132" s="862">
        <f>SUM(GB131:GG131)</f>
        <v>0</v>
      </c>
      <c r="GC132" s="863"/>
      <c r="GD132" s="863"/>
      <c r="GE132" s="863"/>
      <c r="GF132" s="863"/>
      <c r="GG132" s="864"/>
      <c r="GL132" s="859" t="str">
        <f>Language!$E$208</f>
        <v>Sum:</v>
      </c>
      <c r="GM132" s="860"/>
      <c r="GN132" s="861"/>
      <c r="GO132" s="862">
        <f>SUM(GO131:GT131)</f>
        <v>0</v>
      </c>
      <c r="GP132" s="863"/>
      <c r="GQ132" s="863"/>
      <c r="GR132" s="863"/>
      <c r="GS132" s="863"/>
      <c r="GT132" s="864"/>
      <c r="GY132" s="859" t="str">
        <f>Language!$E$208</f>
        <v>Sum:</v>
      </c>
      <c r="GZ132" s="860"/>
      <c r="HA132" s="861"/>
      <c r="HB132" s="862">
        <f>SUM(HB131:HG131)</f>
        <v>0</v>
      </c>
      <c r="HC132" s="863"/>
      <c r="HD132" s="863"/>
      <c r="HE132" s="863"/>
      <c r="HF132" s="863"/>
      <c r="HG132" s="864"/>
      <c r="HL132" s="859" t="str">
        <f>Language!$E$208</f>
        <v>Sum:</v>
      </c>
      <c r="HM132" s="860"/>
      <c r="HN132" s="861"/>
      <c r="HO132" s="862">
        <f>SUM(HO131:HT131)</f>
        <v>0</v>
      </c>
      <c r="HP132" s="863"/>
      <c r="HQ132" s="863"/>
      <c r="HR132" s="863"/>
      <c r="HS132" s="863"/>
      <c r="HT132" s="864"/>
      <c r="HY132" s="859" t="str">
        <f>Language!$E$208</f>
        <v>Sum:</v>
      </c>
      <c r="HZ132" s="860"/>
      <c r="IA132" s="861"/>
      <c r="IB132" s="862">
        <f>SUM(IB131:IG131)</f>
        <v>0</v>
      </c>
      <c r="IC132" s="863"/>
      <c r="ID132" s="863"/>
      <c r="IE132" s="863"/>
      <c r="IF132" s="863"/>
      <c r="IG132" s="864"/>
      <c r="IL132" s="859" t="str">
        <f>Language!$E$208</f>
        <v>Sum:</v>
      </c>
      <c r="IM132" s="860"/>
      <c r="IN132" s="861"/>
      <c r="IO132" s="862">
        <f>SUM(IO131:IT131)</f>
        <v>0</v>
      </c>
      <c r="IP132" s="863"/>
      <c r="IQ132" s="863"/>
      <c r="IR132" s="863"/>
      <c r="IS132" s="863"/>
      <c r="IT132" s="864"/>
      <c r="IY132" s="859" t="str">
        <f>Language!$E$208</f>
        <v>Sum:</v>
      </c>
      <c r="IZ132" s="860"/>
      <c r="JA132" s="861"/>
      <c r="JB132" s="862">
        <f>SUM(JB131:JG131)</f>
        <v>0</v>
      </c>
      <c r="JC132" s="863"/>
      <c r="JD132" s="863"/>
      <c r="JE132" s="863"/>
      <c r="JF132" s="863"/>
      <c r="JG132" s="864"/>
      <c r="JL132" s="859" t="str">
        <f>Language!$E$208</f>
        <v>Sum:</v>
      </c>
      <c r="JM132" s="860"/>
      <c r="JN132" s="861"/>
      <c r="JO132" s="862">
        <f>SUM(JO131:JT131)</f>
        <v>0</v>
      </c>
      <c r="JP132" s="863"/>
      <c r="JQ132" s="863"/>
      <c r="JR132" s="863"/>
      <c r="JS132" s="863"/>
      <c r="JT132" s="864"/>
      <c r="JY132" s="859" t="str">
        <f>Language!$E$208</f>
        <v>Sum:</v>
      </c>
      <c r="JZ132" s="860"/>
      <c r="KA132" s="861"/>
      <c r="KB132" s="862">
        <f>SUM(KB131:KG131)</f>
        <v>0</v>
      </c>
      <c r="KC132" s="863"/>
      <c r="KD132" s="863"/>
      <c r="KE132" s="863"/>
      <c r="KF132" s="863"/>
      <c r="KG132" s="864"/>
      <c r="KL132" s="859" t="str">
        <f>Language!$E$208</f>
        <v>Sum:</v>
      </c>
      <c r="KM132" s="860"/>
      <c r="KN132" s="861"/>
      <c r="KO132" s="862">
        <f>SUM(KO131:KT131)</f>
        <v>0</v>
      </c>
      <c r="KP132" s="863"/>
      <c r="KQ132" s="863"/>
      <c r="KR132" s="863"/>
      <c r="KS132" s="863"/>
      <c r="KT132" s="864"/>
      <c r="KY132" s="859" t="str">
        <f>Language!$E$208</f>
        <v>Sum:</v>
      </c>
      <c r="KZ132" s="860"/>
      <c r="LA132" s="861"/>
      <c r="LB132" s="862">
        <f>SUM(LB131:LG131)</f>
        <v>0</v>
      </c>
      <c r="LC132" s="863"/>
      <c r="LD132" s="863"/>
      <c r="LE132" s="863"/>
      <c r="LF132" s="863"/>
      <c r="LG132" s="864"/>
      <c r="LL132" s="859" t="str">
        <f>Language!$E$208</f>
        <v>Sum:</v>
      </c>
      <c r="LM132" s="860"/>
      <c r="LN132" s="861"/>
      <c r="LO132" s="862">
        <f>SUM(LO131:LT131)</f>
        <v>0</v>
      </c>
      <c r="LP132" s="863"/>
      <c r="LQ132" s="863"/>
      <c r="LR132" s="863"/>
      <c r="LS132" s="863"/>
      <c r="LT132" s="864"/>
      <c r="LY132" s="859" t="str">
        <f>Language!$E$208</f>
        <v>Sum:</v>
      </c>
      <c r="LZ132" s="860"/>
      <c r="MA132" s="861"/>
      <c r="MB132" s="862">
        <f>SUM(MB131:MG131)</f>
        <v>0</v>
      </c>
      <c r="MC132" s="863"/>
      <c r="MD132" s="863"/>
      <c r="ME132" s="863"/>
      <c r="MF132" s="863"/>
      <c r="MG132" s="864"/>
    </row>
    <row r="133" spans="2:345" ht="30.75" customHeight="1" thickTop="1" x14ac:dyDescent="0.3"/>
    <row r="134" spans="2:345" ht="16.2" thickBot="1" x14ac:dyDescent="0.35">
      <c r="B134" s="882" t="str">
        <f>Language!$E$221</f>
        <v>Hint</v>
      </c>
      <c r="C134" s="882"/>
      <c r="D134" s="882"/>
      <c r="E134" s="882"/>
      <c r="F134" s="882"/>
      <c r="G134" s="882"/>
      <c r="H134" s="882"/>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67" t="str">
        <f>Language!$E$230</f>
        <v>For example, to add ten more people, select columns HI through MG and copy them to the right. Finished.
(Remove sheet protection!)</v>
      </c>
      <c r="C135" s="868"/>
      <c r="D135" s="868"/>
      <c r="E135" s="868"/>
      <c r="F135" s="868"/>
      <c r="G135" s="868"/>
      <c r="H135" s="869"/>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70"/>
      <c r="C136" s="871"/>
      <c r="D136" s="871"/>
      <c r="E136" s="871"/>
      <c r="F136" s="871"/>
      <c r="G136" s="871"/>
      <c r="H136" s="872"/>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70"/>
      <c r="C137" s="871"/>
      <c r="D137" s="871"/>
      <c r="E137" s="871"/>
      <c r="F137" s="871"/>
      <c r="G137" s="871"/>
      <c r="H137" s="872"/>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70" t="str">
        <f>Language!$E$231</f>
        <v>To predict the teams in the KO round, enter the team numbers in the yellow fields.</v>
      </c>
      <c r="C138" s="871"/>
      <c r="D138" s="871"/>
      <c r="E138" s="871"/>
      <c r="F138" s="871"/>
      <c r="G138" s="871"/>
      <c r="H138" s="872"/>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70"/>
      <c r="C139" s="871"/>
      <c r="D139" s="871"/>
      <c r="E139" s="871"/>
      <c r="F139" s="871"/>
      <c r="G139" s="871"/>
      <c r="H139" s="872"/>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70"/>
      <c r="C140" s="871"/>
      <c r="D140" s="871"/>
      <c r="E140" s="871"/>
      <c r="F140" s="871"/>
      <c r="G140" s="871"/>
      <c r="H140" s="872"/>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70" t="str">
        <f>Language!$E$232</f>
        <v>The factors for the individual categories and other presettings can be selected on the 'PrSettings' worksheet.</v>
      </c>
      <c r="C141" s="871"/>
      <c r="D141" s="871"/>
      <c r="E141" s="871"/>
      <c r="F141" s="871"/>
      <c r="G141" s="871"/>
      <c r="H141" s="872"/>
    </row>
    <row r="142" spans="2:345" x14ac:dyDescent="0.3">
      <c r="B142" s="870"/>
      <c r="C142" s="871"/>
      <c r="D142" s="871"/>
      <c r="E142" s="871"/>
      <c r="F142" s="871"/>
      <c r="G142" s="871"/>
      <c r="H142" s="872"/>
    </row>
    <row r="143" spans="2:345" ht="16.2" thickBot="1" x14ac:dyDescent="0.35">
      <c r="B143" s="873"/>
      <c r="C143" s="874"/>
      <c r="D143" s="874"/>
      <c r="E143" s="874"/>
      <c r="F143" s="874"/>
      <c r="G143" s="874"/>
      <c r="H143" s="875"/>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8" t="str">
        <f>Language!$E$204</f>
        <v>Predictions</v>
      </c>
      <c r="C1" s="888"/>
      <c r="D1" s="888"/>
      <c r="E1" s="888"/>
      <c r="F1" s="888"/>
      <c r="G1" s="888"/>
    </row>
    <row r="2" spans="1:345" ht="18.75" customHeight="1" x14ac:dyDescent="0.55000000000000004">
      <c r="A2" s="194"/>
      <c r="B2" s="194"/>
      <c r="C2" s="50"/>
      <c r="D2" s="50"/>
      <c r="E2" s="50"/>
      <c r="I2" s="887">
        <f>O130</f>
        <v>0</v>
      </c>
      <c r="J2" s="887"/>
      <c r="K2" s="887"/>
      <c r="L2" s="887"/>
      <c r="M2" s="887"/>
      <c r="N2" s="887"/>
      <c r="O2" s="887"/>
      <c r="P2" s="887"/>
      <c r="Q2" s="887"/>
      <c r="R2" s="887"/>
      <c r="S2" s="887"/>
      <c r="T2" s="887"/>
      <c r="V2" s="887">
        <f>AB130</f>
        <v>0</v>
      </c>
      <c r="W2" s="887"/>
      <c r="X2" s="887"/>
      <c r="Y2" s="887"/>
      <c r="Z2" s="887"/>
      <c r="AA2" s="887"/>
      <c r="AB2" s="887"/>
      <c r="AC2" s="887"/>
      <c r="AD2" s="887"/>
      <c r="AE2" s="887"/>
      <c r="AF2" s="887"/>
      <c r="AG2" s="887"/>
      <c r="AI2" s="887">
        <f>AO130</f>
        <v>0</v>
      </c>
      <c r="AJ2" s="887"/>
      <c r="AK2" s="887"/>
      <c r="AL2" s="887"/>
      <c r="AM2" s="887"/>
      <c r="AN2" s="887"/>
      <c r="AO2" s="887"/>
      <c r="AP2" s="887"/>
      <c r="AQ2" s="887"/>
      <c r="AR2" s="887"/>
      <c r="AS2" s="887"/>
      <c r="AT2" s="887"/>
      <c r="AV2" s="887">
        <f>BB130</f>
        <v>0</v>
      </c>
      <c r="AW2" s="887"/>
      <c r="AX2" s="887"/>
      <c r="AY2" s="887"/>
      <c r="AZ2" s="887"/>
      <c r="BA2" s="887"/>
      <c r="BB2" s="887"/>
      <c r="BC2" s="887"/>
      <c r="BD2" s="887"/>
      <c r="BE2" s="887"/>
      <c r="BF2" s="887"/>
      <c r="BG2" s="887"/>
      <c r="BI2" s="887">
        <f>BO130</f>
        <v>0</v>
      </c>
      <c r="BJ2" s="887"/>
      <c r="BK2" s="887"/>
      <c r="BL2" s="887"/>
      <c r="BM2" s="887"/>
      <c r="BN2" s="887"/>
      <c r="BO2" s="887"/>
      <c r="BP2" s="887"/>
      <c r="BQ2" s="887"/>
      <c r="BR2" s="887"/>
      <c r="BS2" s="887"/>
      <c r="BT2" s="887"/>
      <c r="BV2" s="887">
        <f>CB130</f>
        <v>0</v>
      </c>
      <c r="BW2" s="887"/>
      <c r="BX2" s="887"/>
      <c r="BY2" s="887"/>
      <c r="BZ2" s="887"/>
      <c r="CA2" s="887"/>
      <c r="CB2" s="887"/>
      <c r="CC2" s="887"/>
      <c r="CD2" s="887"/>
      <c r="CE2" s="887"/>
      <c r="CF2" s="887"/>
      <c r="CG2" s="887"/>
      <c r="CI2" s="887">
        <f>CO130</f>
        <v>0</v>
      </c>
      <c r="CJ2" s="887"/>
      <c r="CK2" s="887"/>
      <c r="CL2" s="887"/>
      <c r="CM2" s="887"/>
      <c r="CN2" s="887"/>
      <c r="CO2" s="887"/>
      <c r="CP2" s="887"/>
      <c r="CQ2" s="887"/>
      <c r="CR2" s="887"/>
      <c r="CS2" s="887"/>
      <c r="CT2" s="887"/>
      <c r="CV2" s="887">
        <f>DB130</f>
        <v>0</v>
      </c>
      <c r="CW2" s="887"/>
      <c r="CX2" s="887"/>
      <c r="CY2" s="887"/>
      <c r="CZ2" s="887"/>
      <c r="DA2" s="887"/>
      <c r="DB2" s="887"/>
      <c r="DC2" s="887"/>
      <c r="DD2" s="887"/>
      <c r="DE2" s="887"/>
      <c r="DF2" s="887"/>
      <c r="DG2" s="887"/>
      <c r="DI2" s="887">
        <f>DO130</f>
        <v>0</v>
      </c>
      <c r="DJ2" s="887"/>
      <c r="DK2" s="887"/>
      <c r="DL2" s="887"/>
      <c r="DM2" s="887"/>
      <c r="DN2" s="887"/>
      <c r="DO2" s="887"/>
      <c r="DP2" s="887"/>
      <c r="DQ2" s="887"/>
      <c r="DR2" s="887"/>
      <c r="DS2" s="887"/>
      <c r="DT2" s="887"/>
      <c r="DV2" s="887">
        <f>EB130</f>
        <v>0</v>
      </c>
      <c r="DW2" s="887"/>
      <c r="DX2" s="887"/>
      <c r="DY2" s="887"/>
      <c r="DZ2" s="887"/>
      <c r="EA2" s="887"/>
      <c r="EB2" s="887"/>
      <c r="EC2" s="887"/>
      <c r="ED2" s="887"/>
      <c r="EE2" s="887"/>
      <c r="EF2" s="887"/>
      <c r="EG2" s="887"/>
      <c r="EI2" s="887">
        <f>EO130</f>
        <v>0</v>
      </c>
      <c r="EJ2" s="887"/>
      <c r="EK2" s="887"/>
      <c r="EL2" s="887"/>
      <c r="EM2" s="887"/>
      <c r="EN2" s="887"/>
      <c r="EO2" s="887"/>
      <c r="EP2" s="887"/>
      <c r="EQ2" s="887"/>
      <c r="ER2" s="887"/>
      <c r="ES2" s="887"/>
      <c r="ET2" s="887"/>
      <c r="EV2" s="887">
        <f>FB130</f>
        <v>0</v>
      </c>
      <c r="EW2" s="887"/>
      <c r="EX2" s="887"/>
      <c r="EY2" s="887"/>
      <c r="EZ2" s="887"/>
      <c r="FA2" s="887"/>
      <c r="FB2" s="887"/>
      <c r="FC2" s="887"/>
      <c r="FD2" s="887"/>
      <c r="FE2" s="887"/>
      <c r="FF2" s="887"/>
      <c r="FG2" s="887"/>
      <c r="FI2" s="887">
        <f>FO130</f>
        <v>0</v>
      </c>
      <c r="FJ2" s="887"/>
      <c r="FK2" s="887"/>
      <c r="FL2" s="887"/>
      <c r="FM2" s="887"/>
      <c r="FN2" s="887"/>
      <c r="FO2" s="887"/>
      <c r="FP2" s="887"/>
      <c r="FQ2" s="887"/>
      <c r="FR2" s="887"/>
      <c r="FS2" s="887"/>
      <c r="FT2" s="887"/>
      <c r="FV2" s="887">
        <f>GB130</f>
        <v>0</v>
      </c>
      <c r="FW2" s="887"/>
      <c r="FX2" s="887"/>
      <c r="FY2" s="887"/>
      <c r="FZ2" s="887"/>
      <c r="GA2" s="887"/>
      <c r="GB2" s="887"/>
      <c r="GC2" s="887"/>
      <c r="GD2" s="887"/>
      <c r="GE2" s="887"/>
      <c r="GF2" s="887"/>
      <c r="GG2" s="887"/>
      <c r="GI2" s="887">
        <f>GO130</f>
        <v>0</v>
      </c>
      <c r="GJ2" s="887"/>
      <c r="GK2" s="887"/>
      <c r="GL2" s="887"/>
      <c r="GM2" s="887"/>
      <c r="GN2" s="887"/>
      <c r="GO2" s="887"/>
      <c r="GP2" s="887"/>
      <c r="GQ2" s="887"/>
      <c r="GR2" s="887"/>
      <c r="GS2" s="887"/>
      <c r="GT2" s="887"/>
      <c r="GV2" s="887">
        <f>HB130</f>
        <v>0</v>
      </c>
      <c r="GW2" s="887"/>
      <c r="GX2" s="887"/>
      <c r="GY2" s="887"/>
      <c r="GZ2" s="887"/>
      <c r="HA2" s="887"/>
      <c r="HB2" s="887"/>
      <c r="HC2" s="887"/>
      <c r="HD2" s="887"/>
      <c r="HE2" s="887"/>
      <c r="HF2" s="887"/>
      <c r="HG2" s="887"/>
      <c r="HI2" s="887">
        <f>HO130</f>
        <v>0</v>
      </c>
      <c r="HJ2" s="887"/>
      <c r="HK2" s="887"/>
      <c r="HL2" s="887"/>
      <c r="HM2" s="887"/>
      <c r="HN2" s="887"/>
      <c r="HO2" s="887"/>
      <c r="HP2" s="887"/>
      <c r="HQ2" s="887"/>
      <c r="HR2" s="887"/>
      <c r="HS2" s="887"/>
      <c r="HT2" s="887"/>
      <c r="HV2" s="887">
        <f>IB130</f>
        <v>0</v>
      </c>
      <c r="HW2" s="887"/>
      <c r="HX2" s="887"/>
      <c r="HY2" s="887"/>
      <c r="HZ2" s="887"/>
      <c r="IA2" s="887"/>
      <c r="IB2" s="887"/>
      <c r="IC2" s="887"/>
      <c r="ID2" s="887"/>
      <c r="IE2" s="887"/>
      <c r="IF2" s="887"/>
      <c r="IG2" s="887"/>
      <c r="II2" s="887">
        <f>IO130</f>
        <v>0</v>
      </c>
      <c r="IJ2" s="887"/>
      <c r="IK2" s="887"/>
      <c r="IL2" s="887"/>
      <c r="IM2" s="887"/>
      <c r="IN2" s="887"/>
      <c r="IO2" s="887"/>
      <c r="IP2" s="887"/>
      <c r="IQ2" s="887"/>
      <c r="IR2" s="887"/>
      <c r="IS2" s="887"/>
      <c r="IT2" s="887"/>
      <c r="IV2" s="887">
        <f>JB130</f>
        <v>0</v>
      </c>
      <c r="IW2" s="887"/>
      <c r="IX2" s="887"/>
      <c r="IY2" s="887"/>
      <c r="IZ2" s="887"/>
      <c r="JA2" s="887"/>
      <c r="JB2" s="887"/>
      <c r="JC2" s="887"/>
      <c r="JD2" s="887"/>
      <c r="JE2" s="887"/>
      <c r="JF2" s="887"/>
      <c r="JG2" s="887"/>
      <c r="JI2" s="887">
        <f>JO130</f>
        <v>0</v>
      </c>
      <c r="JJ2" s="887"/>
      <c r="JK2" s="887"/>
      <c r="JL2" s="887"/>
      <c r="JM2" s="887"/>
      <c r="JN2" s="887"/>
      <c r="JO2" s="887"/>
      <c r="JP2" s="887"/>
      <c r="JQ2" s="887"/>
      <c r="JR2" s="887"/>
      <c r="JS2" s="887"/>
      <c r="JT2" s="887"/>
      <c r="JV2" s="887">
        <f>KB130</f>
        <v>0</v>
      </c>
      <c r="JW2" s="887"/>
      <c r="JX2" s="887"/>
      <c r="JY2" s="887"/>
      <c r="JZ2" s="887"/>
      <c r="KA2" s="887"/>
      <c r="KB2" s="887"/>
      <c r="KC2" s="887"/>
      <c r="KD2" s="887"/>
      <c r="KE2" s="887"/>
      <c r="KF2" s="887"/>
      <c r="KG2" s="887"/>
      <c r="KI2" s="887">
        <f>KO130</f>
        <v>0</v>
      </c>
      <c r="KJ2" s="887"/>
      <c r="KK2" s="887"/>
      <c r="KL2" s="887"/>
      <c r="KM2" s="887"/>
      <c r="KN2" s="887"/>
      <c r="KO2" s="887"/>
      <c r="KP2" s="887"/>
      <c r="KQ2" s="887"/>
      <c r="KR2" s="887"/>
      <c r="KS2" s="887"/>
      <c r="KT2" s="887"/>
      <c r="KV2" s="887">
        <f>LB130</f>
        <v>0</v>
      </c>
      <c r="KW2" s="887"/>
      <c r="KX2" s="887"/>
      <c r="KY2" s="887"/>
      <c r="KZ2" s="887"/>
      <c r="LA2" s="887"/>
      <c r="LB2" s="887"/>
      <c r="LC2" s="887"/>
      <c r="LD2" s="887"/>
      <c r="LE2" s="887"/>
      <c r="LF2" s="887"/>
      <c r="LG2" s="887"/>
      <c r="LI2" s="887">
        <f>LO130</f>
        <v>0</v>
      </c>
      <c r="LJ2" s="887"/>
      <c r="LK2" s="887"/>
      <c r="LL2" s="887"/>
      <c r="LM2" s="887"/>
      <c r="LN2" s="887"/>
      <c r="LO2" s="887"/>
      <c r="LP2" s="887"/>
      <c r="LQ2" s="887"/>
      <c r="LR2" s="887"/>
      <c r="LS2" s="887"/>
      <c r="LT2" s="887"/>
      <c r="LV2" s="887">
        <f>MB130</f>
        <v>0</v>
      </c>
      <c r="LW2" s="887"/>
      <c r="LX2" s="887"/>
      <c r="LY2" s="887"/>
      <c r="LZ2" s="887"/>
      <c r="MA2" s="887"/>
      <c r="MB2" s="887"/>
      <c r="MC2" s="887"/>
      <c r="MD2" s="887"/>
      <c r="ME2" s="887"/>
      <c r="MF2" s="887"/>
      <c r="MG2" s="887"/>
    </row>
    <row r="3" spans="1:345" ht="24.75" customHeight="1" thickBot="1" x14ac:dyDescent="0.35">
      <c r="A3" s="194"/>
      <c r="B3" s="877" t="str">
        <f>Language!$E$205</f>
        <v>Correct Results</v>
      </c>
      <c r="C3" s="878"/>
      <c r="D3" s="878"/>
      <c r="E3" s="878"/>
      <c r="F3" s="878"/>
      <c r="G3" s="879"/>
      <c r="I3" s="884" t="s">
        <v>560</v>
      </c>
      <c r="J3" s="885"/>
      <c r="K3" s="885"/>
      <c r="L3" s="885"/>
      <c r="M3" s="885"/>
      <c r="N3" s="885"/>
      <c r="O3" s="885"/>
      <c r="P3" s="885"/>
      <c r="Q3" s="885"/>
      <c r="R3" s="885"/>
      <c r="S3" s="885"/>
      <c r="T3" s="886"/>
      <c r="V3" s="884" t="s">
        <v>1643</v>
      </c>
      <c r="W3" s="885"/>
      <c r="X3" s="885"/>
      <c r="Y3" s="885"/>
      <c r="Z3" s="885"/>
      <c r="AA3" s="885"/>
      <c r="AB3" s="885"/>
      <c r="AC3" s="885"/>
      <c r="AD3" s="885"/>
      <c r="AE3" s="885"/>
      <c r="AF3" s="885"/>
      <c r="AG3" s="886"/>
      <c r="AI3" s="884"/>
      <c r="AJ3" s="885"/>
      <c r="AK3" s="885"/>
      <c r="AL3" s="885"/>
      <c r="AM3" s="885"/>
      <c r="AN3" s="885"/>
      <c r="AO3" s="885"/>
      <c r="AP3" s="885"/>
      <c r="AQ3" s="885"/>
      <c r="AR3" s="885"/>
      <c r="AS3" s="885"/>
      <c r="AT3" s="886"/>
      <c r="AV3" s="884"/>
      <c r="AW3" s="885"/>
      <c r="AX3" s="885"/>
      <c r="AY3" s="885"/>
      <c r="AZ3" s="885"/>
      <c r="BA3" s="885"/>
      <c r="BB3" s="885"/>
      <c r="BC3" s="885"/>
      <c r="BD3" s="885"/>
      <c r="BE3" s="885"/>
      <c r="BF3" s="885"/>
      <c r="BG3" s="886"/>
      <c r="BI3" s="884"/>
      <c r="BJ3" s="885"/>
      <c r="BK3" s="885"/>
      <c r="BL3" s="885"/>
      <c r="BM3" s="885"/>
      <c r="BN3" s="885"/>
      <c r="BO3" s="885"/>
      <c r="BP3" s="885"/>
      <c r="BQ3" s="885"/>
      <c r="BR3" s="885"/>
      <c r="BS3" s="885"/>
      <c r="BT3" s="886"/>
      <c r="BV3" s="884"/>
      <c r="BW3" s="885"/>
      <c r="BX3" s="885"/>
      <c r="BY3" s="885"/>
      <c r="BZ3" s="885"/>
      <c r="CA3" s="885"/>
      <c r="CB3" s="885"/>
      <c r="CC3" s="885"/>
      <c r="CD3" s="885"/>
      <c r="CE3" s="885"/>
      <c r="CF3" s="885"/>
      <c r="CG3" s="886"/>
      <c r="CI3" s="884"/>
      <c r="CJ3" s="885"/>
      <c r="CK3" s="885"/>
      <c r="CL3" s="885"/>
      <c r="CM3" s="885"/>
      <c r="CN3" s="885"/>
      <c r="CO3" s="885"/>
      <c r="CP3" s="885"/>
      <c r="CQ3" s="885"/>
      <c r="CR3" s="885"/>
      <c r="CS3" s="885"/>
      <c r="CT3" s="886"/>
      <c r="CV3" s="884"/>
      <c r="CW3" s="885"/>
      <c r="CX3" s="885"/>
      <c r="CY3" s="885"/>
      <c r="CZ3" s="885"/>
      <c r="DA3" s="885"/>
      <c r="DB3" s="885"/>
      <c r="DC3" s="885"/>
      <c r="DD3" s="885"/>
      <c r="DE3" s="885"/>
      <c r="DF3" s="885"/>
      <c r="DG3" s="886"/>
      <c r="DI3" s="884"/>
      <c r="DJ3" s="885"/>
      <c r="DK3" s="885"/>
      <c r="DL3" s="885"/>
      <c r="DM3" s="885"/>
      <c r="DN3" s="885"/>
      <c r="DO3" s="885"/>
      <c r="DP3" s="885"/>
      <c r="DQ3" s="885"/>
      <c r="DR3" s="885"/>
      <c r="DS3" s="885"/>
      <c r="DT3" s="886"/>
      <c r="DV3" s="884"/>
      <c r="DW3" s="885"/>
      <c r="DX3" s="885"/>
      <c r="DY3" s="885"/>
      <c r="DZ3" s="885"/>
      <c r="EA3" s="885"/>
      <c r="EB3" s="885"/>
      <c r="EC3" s="885"/>
      <c r="ED3" s="885"/>
      <c r="EE3" s="885"/>
      <c r="EF3" s="885"/>
      <c r="EG3" s="886"/>
      <c r="EI3" s="884"/>
      <c r="EJ3" s="885"/>
      <c r="EK3" s="885"/>
      <c r="EL3" s="885"/>
      <c r="EM3" s="885"/>
      <c r="EN3" s="885"/>
      <c r="EO3" s="885"/>
      <c r="EP3" s="885"/>
      <c r="EQ3" s="885"/>
      <c r="ER3" s="885"/>
      <c r="ES3" s="885"/>
      <c r="ET3" s="886"/>
      <c r="EV3" s="884"/>
      <c r="EW3" s="885"/>
      <c r="EX3" s="885"/>
      <c r="EY3" s="885"/>
      <c r="EZ3" s="885"/>
      <c r="FA3" s="885"/>
      <c r="FB3" s="885"/>
      <c r="FC3" s="885"/>
      <c r="FD3" s="885"/>
      <c r="FE3" s="885"/>
      <c r="FF3" s="885"/>
      <c r="FG3" s="886"/>
      <c r="FI3" s="884"/>
      <c r="FJ3" s="885"/>
      <c r="FK3" s="885"/>
      <c r="FL3" s="885"/>
      <c r="FM3" s="885"/>
      <c r="FN3" s="885"/>
      <c r="FO3" s="885"/>
      <c r="FP3" s="885"/>
      <c r="FQ3" s="885"/>
      <c r="FR3" s="885"/>
      <c r="FS3" s="885"/>
      <c r="FT3" s="886"/>
      <c r="FV3" s="884"/>
      <c r="FW3" s="885"/>
      <c r="FX3" s="885"/>
      <c r="FY3" s="885"/>
      <c r="FZ3" s="885"/>
      <c r="GA3" s="885"/>
      <c r="GB3" s="885"/>
      <c r="GC3" s="885"/>
      <c r="GD3" s="885"/>
      <c r="GE3" s="885"/>
      <c r="GF3" s="885"/>
      <c r="GG3" s="886"/>
      <c r="GI3" s="884"/>
      <c r="GJ3" s="885"/>
      <c r="GK3" s="885"/>
      <c r="GL3" s="885"/>
      <c r="GM3" s="885"/>
      <c r="GN3" s="885"/>
      <c r="GO3" s="885"/>
      <c r="GP3" s="885"/>
      <c r="GQ3" s="885"/>
      <c r="GR3" s="885"/>
      <c r="GS3" s="885"/>
      <c r="GT3" s="886"/>
      <c r="GV3" s="884"/>
      <c r="GW3" s="885"/>
      <c r="GX3" s="885"/>
      <c r="GY3" s="885"/>
      <c r="GZ3" s="885"/>
      <c r="HA3" s="885"/>
      <c r="HB3" s="885"/>
      <c r="HC3" s="885"/>
      <c r="HD3" s="885"/>
      <c r="HE3" s="885"/>
      <c r="HF3" s="885"/>
      <c r="HG3" s="886"/>
      <c r="HI3" s="884"/>
      <c r="HJ3" s="885"/>
      <c r="HK3" s="885"/>
      <c r="HL3" s="885"/>
      <c r="HM3" s="885"/>
      <c r="HN3" s="885"/>
      <c r="HO3" s="885"/>
      <c r="HP3" s="885"/>
      <c r="HQ3" s="885"/>
      <c r="HR3" s="885"/>
      <c r="HS3" s="885"/>
      <c r="HT3" s="886"/>
      <c r="HV3" s="884"/>
      <c r="HW3" s="885"/>
      <c r="HX3" s="885"/>
      <c r="HY3" s="885"/>
      <c r="HZ3" s="885"/>
      <c r="IA3" s="885"/>
      <c r="IB3" s="885"/>
      <c r="IC3" s="885"/>
      <c r="ID3" s="885"/>
      <c r="IE3" s="885"/>
      <c r="IF3" s="885"/>
      <c r="IG3" s="886"/>
      <c r="II3" s="884"/>
      <c r="IJ3" s="885"/>
      <c r="IK3" s="885"/>
      <c r="IL3" s="885"/>
      <c r="IM3" s="885"/>
      <c r="IN3" s="885"/>
      <c r="IO3" s="885"/>
      <c r="IP3" s="885"/>
      <c r="IQ3" s="885"/>
      <c r="IR3" s="885"/>
      <c r="IS3" s="885"/>
      <c r="IT3" s="886"/>
      <c r="IV3" s="884"/>
      <c r="IW3" s="885"/>
      <c r="IX3" s="885"/>
      <c r="IY3" s="885"/>
      <c r="IZ3" s="885"/>
      <c r="JA3" s="885"/>
      <c r="JB3" s="885"/>
      <c r="JC3" s="885"/>
      <c r="JD3" s="885"/>
      <c r="JE3" s="885"/>
      <c r="JF3" s="885"/>
      <c r="JG3" s="886"/>
      <c r="JI3" s="884"/>
      <c r="JJ3" s="885"/>
      <c r="JK3" s="885"/>
      <c r="JL3" s="885"/>
      <c r="JM3" s="885"/>
      <c r="JN3" s="885"/>
      <c r="JO3" s="885"/>
      <c r="JP3" s="885"/>
      <c r="JQ3" s="885"/>
      <c r="JR3" s="885"/>
      <c r="JS3" s="885"/>
      <c r="JT3" s="886"/>
      <c r="JV3" s="884"/>
      <c r="JW3" s="885"/>
      <c r="JX3" s="885"/>
      <c r="JY3" s="885"/>
      <c r="JZ3" s="885"/>
      <c r="KA3" s="885"/>
      <c r="KB3" s="885"/>
      <c r="KC3" s="885"/>
      <c r="KD3" s="885"/>
      <c r="KE3" s="885"/>
      <c r="KF3" s="885"/>
      <c r="KG3" s="886"/>
      <c r="KI3" s="884"/>
      <c r="KJ3" s="885"/>
      <c r="KK3" s="885"/>
      <c r="KL3" s="885"/>
      <c r="KM3" s="885"/>
      <c r="KN3" s="885"/>
      <c r="KO3" s="885"/>
      <c r="KP3" s="885"/>
      <c r="KQ3" s="885"/>
      <c r="KR3" s="885"/>
      <c r="KS3" s="885"/>
      <c r="KT3" s="886"/>
      <c r="KV3" s="884"/>
      <c r="KW3" s="885"/>
      <c r="KX3" s="885"/>
      <c r="KY3" s="885"/>
      <c r="KZ3" s="885"/>
      <c r="LA3" s="885"/>
      <c r="LB3" s="885"/>
      <c r="LC3" s="885"/>
      <c r="LD3" s="885"/>
      <c r="LE3" s="885"/>
      <c r="LF3" s="885"/>
      <c r="LG3" s="886"/>
      <c r="LI3" s="884"/>
      <c r="LJ3" s="885"/>
      <c r="LK3" s="885"/>
      <c r="LL3" s="885"/>
      <c r="LM3" s="885"/>
      <c r="LN3" s="885"/>
      <c r="LO3" s="885"/>
      <c r="LP3" s="885"/>
      <c r="LQ3" s="885"/>
      <c r="LR3" s="885"/>
      <c r="LS3" s="885"/>
      <c r="LT3" s="886"/>
      <c r="LV3" s="884"/>
      <c r="LW3" s="885"/>
      <c r="LX3" s="885"/>
      <c r="LY3" s="885"/>
      <c r="LZ3" s="885"/>
      <c r="MA3" s="885"/>
      <c r="MB3" s="885"/>
      <c r="MC3" s="885"/>
      <c r="MD3" s="885"/>
      <c r="ME3" s="885"/>
      <c r="MF3" s="885"/>
      <c r="MG3" s="886"/>
    </row>
    <row r="4" spans="1:345" ht="40.5" customHeight="1" thickTop="1" x14ac:dyDescent="0.3">
      <c r="A4" s="194"/>
      <c r="B4" s="214"/>
      <c r="C4" s="215"/>
      <c r="D4" s="215"/>
      <c r="E4" s="216"/>
      <c r="F4" s="880" t="str">
        <f>Language!$E$209</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t="str">
        <f>IF(C90="","",INDEX(Groups!$C$7:$C$65,MATCH(C90,Groups!$D$7:$D$65,0)))</f>
        <v/>
      </c>
      <c r="C90" s="197" t="str">
        <f>'World Cup'!$B$50</f>
        <v/>
      </c>
      <c r="D90" s="198" t="str">
        <f>IF(E90="","",INDEX(Groups!$C$7:$C$65,MATCH(E90,Groups!$D$7:$D$65,0)))</f>
        <v/>
      </c>
      <c r="E90" s="197" t="str">
        <f>'World Cup'!$C$50</f>
        <v/>
      </c>
      <c r="F90" s="199" t="str">
        <f>IF(AND('World Cup'!$B$51&lt;&gt;"",'World Cup'!$C$51&lt;&gt;""),'World Cup'!$B$51,"")</f>
        <v/>
      </c>
      <c r="G90" s="200" t="str">
        <f>IF(AND('World Cup'!$B$51&lt;&gt;"",'World Cup'!$C$51&lt;&gt;""),'World Cup'!$C$51,"")</f>
        <v/>
      </c>
      <c r="I90" s="196" t="str">
        <f>$B90</f>
        <v/>
      </c>
      <c r="J90" s="197" t="str">
        <f>$C90</f>
        <v/>
      </c>
      <c r="K90" s="198" t="str">
        <f>$D90</f>
        <v/>
      </c>
      <c r="L90" s="197" t="str">
        <f>$E90</f>
        <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t="str">
        <f t="shared" ref="T90:T105" si="1431">IF(OR(($C90&lt;&gt;"")*(I90&lt;&gt;""),($E90&lt;&gt;"")*(K90&lt;&gt;"")),($B90=I90)*1+($D90=K90)*1,"")</f>
        <v/>
      </c>
      <c r="V90" s="196" t="str">
        <f>$B90</f>
        <v/>
      </c>
      <c r="W90" s="197" t="str">
        <f>$C90</f>
        <v/>
      </c>
      <c r="X90" s="198" t="str">
        <f>$D90</f>
        <v/>
      </c>
      <c r="Y90" s="197" t="str">
        <f>$E90</f>
        <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t="str">
        <f t="shared" ref="AG90:AG105" si="1433">IF(OR(($C90&lt;&gt;"")*(V90&lt;&gt;""),($E90&lt;&gt;"")*(X90&lt;&gt;"")),($B90=V90)*1+($D90=X90)*1,"")</f>
        <v/>
      </c>
      <c r="AI90" s="196" t="str">
        <f>$B90</f>
        <v/>
      </c>
      <c r="AJ90" s="197" t="str">
        <f>$C90</f>
        <v/>
      </c>
      <c r="AK90" s="198" t="str">
        <f>$D90</f>
        <v/>
      </c>
      <c r="AL90" s="197" t="str">
        <f>$E90</f>
        <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t="str">
        <f t="shared" ref="AT90:AT105" si="1435">IF(OR(($C90&lt;&gt;"")*(AI90&lt;&gt;""),($E90&lt;&gt;"")*(AK90&lt;&gt;"")),($B90=AI90)*1+($D90=AK90)*1,"")</f>
        <v/>
      </c>
      <c r="AV90" s="196" t="str">
        <f>$B90</f>
        <v/>
      </c>
      <c r="AW90" s="197" t="str">
        <f>$C90</f>
        <v/>
      </c>
      <c r="AX90" s="198" t="str">
        <f>$D90</f>
        <v/>
      </c>
      <c r="AY90" s="197" t="str">
        <f>$E90</f>
        <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t="str">
        <f t="shared" ref="BG90:BG105" si="1437">IF(OR(($C90&lt;&gt;"")*(AV90&lt;&gt;""),($E90&lt;&gt;"")*(AX90&lt;&gt;"")),($B90=AV90)*1+($D90=AX90)*1,"")</f>
        <v/>
      </c>
      <c r="BI90" s="196" t="str">
        <f>$B90</f>
        <v/>
      </c>
      <c r="BJ90" s="197" t="str">
        <f>$C90</f>
        <v/>
      </c>
      <c r="BK90" s="198" t="str">
        <f>$D90</f>
        <v/>
      </c>
      <c r="BL90" s="197" t="str">
        <f>$E90</f>
        <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t="str">
        <f t="shared" ref="BT90:BT105" si="1439">IF(OR(($C90&lt;&gt;"")*(BI90&lt;&gt;""),($E90&lt;&gt;"")*(BK90&lt;&gt;"")),($B90=BI90)*1+($D90=BK90)*1,"")</f>
        <v/>
      </c>
      <c r="BV90" s="196" t="str">
        <f>$B90</f>
        <v/>
      </c>
      <c r="BW90" s="197" t="str">
        <f>$C90</f>
        <v/>
      </c>
      <c r="BX90" s="198" t="str">
        <f>$D90</f>
        <v/>
      </c>
      <c r="BY90" s="197" t="str">
        <f>$E90</f>
        <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t="str">
        <f t="shared" ref="CG90:CG105" si="1441">IF(OR(($C90&lt;&gt;"")*(BV90&lt;&gt;""),($E90&lt;&gt;"")*(BX90&lt;&gt;"")),($B90=BV90)*1+($D90=BX90)*1,"")</f>
        <v/>
      </c>
      <c r="CI90" s="196" t="str">
        <f>$B90</f>
        <v/>
      </c>
      <c r="CJ90" s="197" t="str">
        <f>$C90</f>
        <v/>
      </c>
      <c r="CK90" s="198" t="str">
        <f>$D90</f>
        <v/>
      </c>
      <c r="CL90" s="197" t="str">
        <f>$E90</f>
        <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t="str">
        <f t="shared" ref="CT90:CT105" si="1443">IF(OR(($C90&lt;&gt;"")*(CI90&lt;&gt;""),($E90&lt;&gt;"")*(CK90&lt;&gt;"")),($B90=CI90)*1+($D90=CK90)*1,"")</f>
        <v/>
      </c>
      <c r="CV90" s="196" t="str">
        <f>$B90</f>
        <v/>
      </c>
      <c r="CW90" s="197" t="str">
        <f>$C90</f>
        <v/>
      </c>
      <c r="CX90" s="198" t="str">
        <f>$D90</f>
        <v/>
      </c>
      <c r="CY90" s="197" t="str">
        <f>$E90</f>
        <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t="str">
        <f t="shared" ref="DG90:DG105" si="1445">IF(OR(($C90&lt;&gt;"")*(CV90&lt;&gt;""),($E90&lt;&gt;"")*(CX90&lt;&gt;"")),($B90=CV90)*1+($D90=CX90)*1,"")</f>
        <v/>
      </c>
      <c r="DI90" s="196" t="str">
        <f>$B90</f>
        <v/>
      </c>
      <c r="DJ90" s="197" t="str">
        <f>$C90</f>
        <v/>
      </c>
      <c r="DK90" s="198" t="str">
        <f>$D90</f>
        <v/>
      </c>
      <c r="DL90" s="197" t="str">
        <f>$E90</f>
        <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t="str">
        <f t="shared" ref="DT90:DT105" si="1447">IF(OR(($C90&lt;&gt;"")*(DI90&lt;&gt;""),($E90&lt;&gt;"")*(DK90&lt;&gt;"")),($B90=DI90)*1+($D90=DK90)*1,"")</f>
        <v/>
      </c>
      <c r="DV90" s="196" t="str">
        <f>$B90</f>
        <v/>
      </c>
      <c r="DW90" s="197" t="str">
        <f>$C90</f>
        <v/>
      </c>
      <c r="DX90" s="198" t="str">
        <f>$D90</f>
        <v/>
      </c>
      <c r="DY90" s="197" t="str">
        <f>$E90</f>
        <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t="str">
        <f t="shared" ref="EG90:EG105" si="1449">IF(OR(($C90&lt;&gt;"")*(DV90&lt;&gt;""),($E90&lt;&gt;"")*(DX90&lt;&gt;"")),($B90=DV90)*1+($D90=DX90)*1,"")</f>
        <v/>
      </c>
      <c r="EI90" s="196" t="str">
        <f>$B90</f>
        <v/>
      </c>
      <c r="EJ90" s="197" t="str">
        <f>$C90</f>
        <v/>
      </c>
      <c r="EK90" s="198" t="str">
        <f>$D90</f>
        <v/>
      </c>
      <c r="EL90" s="197" t="str">
        <f>$E90</f>
        <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t="str">
        <f t="shared" ref="ET90:ET105" si="1451">IF(OR(($C90&lt;&gt;"")*(EI90&lt;&gt;""),($E90&lt;&gt;"")*(EK90&lt;&gt;"")),($B90=EI90)*1+($D90=EK90)*1,"")</f>
        <v/>
      </c>
      <c r="EV90" s="196" t="str">
        <f>$B90</f>
        <v/>
      </c>
      <c r="EW90" s="197" t="str">
        <f>$C90</f>
        <v/>
      </c>
      <c r="EX90" s="198" t="str">
        <f>$D90</f>
        <v/>
      </c>
      <c r="EY90" s="197" t="str">
        <f>$E90</f>
        <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t="str">
        <f t="shared" ref="FG90:FG105" si="1453">IF(OR(($C90&lt;&gt;"")*(EV90&lt;&gt;""),($E90&lt;&gt;"")*(EX90&lt;&gt;"")),($B90=EV90)*1+($D90=EX90)*1,"")</f>
        <v/>
      </c>
      <c r="FI90" s="196" t="str">
        <f>$B90</f>
        <v/>
      </c>
      <c r="FJ90" s="197" t="str">
        <f>$C90</f>
        <v/>
      </c>
      <c r="FK90" s="198" t="str">
        <f>$D90</f>
        <v/>
      </c>
      <c r="FL90" s="197" t="str">
        <f>$E90</f>
        <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t="str">
        <f t="shared" ref="FT90:FT105" si="1455">IF(OR(($C90&lt;&gt;"")*(FI90&lt;&gt;""),($E90&lt;&gt;"")*(FK90&lt;&gt;"")),($B90=FI90)*1+($D90=FK90)*1,"")</f>
        <v/>
      </c>
      <c r="FV90" s="196" t="str">
        <f>$B90</f>
        <v/>
      </c>
      <c r="FW90" s="197" t="str">
        <f>$C90</f>
        <v/>
      </c>
      <c r="FX90" s="198" t="str">
        <f>$D90</f>
        <v/>
      </c>
      <c r="FY90" s="197" t="str">
        <f>$E90</f>
        <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t="str">
        <f t="shared" ref="GG90:GG105" si="1457">IF(OR(($C90&lt;&gt;"")*(FV90&lt;&gt;""),($E90&lt;&gt;"")*(FX90&lt;&gt;"")),($B90=FV90)*1+($D90=FX90)*1,"")</f>
        <v/>
      </c>
      <c r="GI90" s="196" t="str">
        <f>$B90</f>
        <v/>
      </c>
      <c r="GJ90" s="197" t="str">
        <f>$C90</f>
        <v/>
      </c>
      <c r="GK90" s="198" t="str">
        <f>$D90</f>
        <v/>
      </c>
      <c r="GL90" s="197" t="str">
        <f>$E90</f>
        <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t="str">
        <f t="shared" ref="GT90:GT105" si="1459">IF(OR(($C90&lt;&gt;"")*(GI90&lt;&gt;""),($E90&lt;&gt;"")*(GK90&lt;&gt;"")),($B90=GI90)*1+($D90=GK90)*1,"")</f>
        <v/>
      </c>
      <c r="GV90" s="196" t="str">
        <f>$B90</f>
        <v/>
      </c>
      <c r="GW90" s="197" t="str">
        <f>$C90</f>
        <v/>
      </c>
      <c r="GX90" s="198" t="str">
        <f>$D90</f>
        <v/>
      </c>
      <c r="GY90" s="197" t="str">
        <f>$E90</f>
        <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t="str">
        <f t="shared" ref="HG90:HG105" si="1461">IF(OR(($C90&lt;&gt;"")*(GV90&lt;&gt;""),($E90&lt;&gt;"")*(GX90&lt;&gt;"")),($B90=GV90)*1+($D90=GX90)*1,"")</f>
        <v/>
      </c>
      <c r="HI90" s="196" t="str">
        <f>$B90</f>
        <v/>
      </c>
      <c r="HJ90" s="197" t="str">
        <f>$C90</f>
        <v/>
      </c>
      <c r="HK90" s="198" t="str">
        <f>$D90</f>
        <v/>
      </c>
      <c r="HL90" s="197" t="str">
        <f>$E90</f>
        <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t="str">
        <f t="shared" ref="HT90:HT105" si="1463">IF(OR(($C90&lt;&gt;"")*(HI90&lt;&gt;""),($E90&lt;&gt;"")*(HK90&lt;&gt;"")),($B90=HI90)*1+($D90=HK90)*1,"")</f>
        <v/>
      </c>
      <c r="HV90" s="196" t="str">
        <f>$B90</f>
        <v/>
      </c>
      <c r="HW90" s="197" t="str">
        <f>$C90</f>
        <v/>
      </c>
      <c r="HX90" s="198" t="str">
        <f>$D90</f>
        <v/>
      </c>
      <c r="HY90" s="197" t="str">
        <f>$E90</f>
        <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t="str">
        <f t="shared" ref="IG90:IG105" si="1465">IF(OR(($C90&lt;&gt;"")*(HV90&lt;&gt;""),($E90&lt;&gt;"")*(HX90&lt;&gt;"")),($B90=HV90)*1+($D90=HX90)*1,"")</f>
        <v/>
      </c>
      <c r="II90" s="196" t="str">
        <f>$B90</f>
        <v/>
      </c>
      <c r="IJ90" s="197" t="str">
        <f>$C90</f>
        <v/>
      </c>
      <c r="IK90" s="198" t="str">
        <f>$D90</f>
        <v/>
      </c>
      <c r="IL90" s="197" t="str">
        <f>$E90</f>
        <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t="str">
        <f t="shared" ref="IT90:IT105" si="1467">IF(OR(($C90&lt;&gt;"")*(II90&lt;&gt;""),($E90&lt;&gt;"")*(IK90&lt;&gt;"")),($B90=II90)*1+($D90=IK90)*1,"")</f>
        <v/>
      </c>
      <c r="IV90" s="196" t="str">
        <f>$B90</f>
        <v/>
      </c>
      <c r="IW90" s="197" t="str">
        <f>$C90</f>
        <v/>
      </c>
      <c r="IX90" s="198" t="str">
        <f>$D90</f>
        <v/>
      </c>
      <c r="IY90" s="197" t="str">
        <f>$E90</f>
        <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t="str">
        <f t="shared" ref="JG90:JG105" si="1469">IF(OR(($C90&lt;&gt;"")*(IV90&lt;&gt;""),($E90&lt;&gt;"")*(IX90&lt;&gt;"")),($B90=IV90)*1+($D90=IX90)*1,"")</f>
        <v/>
      </c>
      <c r="JI90" s="196" t="str">
        <f>$B90</f>
        <v/>
      </c>
      <c r="JJ90" s="197" t="str">
        <f>$C90</f>
        <v/>
      </c>
      <c r="JK90" s="198" t="str">
        <f>$D90</f>
        <v/>
      </c>
      <c r="JL90" s="197" t="str">
        <f>$E90</f>
        <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t="str">
        <f t="shared" ref="JT90:JT105" si="1471">IF(OR(($C90&lt;&gt;"")*(JI90&lt;&gt;""),($E90&lt;&gt;"")*(JK90&lt;&gt;"")),($B90=JI90)*1+($D90=JK90)*1,"")</f>
        <v/>
      </c>
      <c r="JV90" s="196" t="str">
        <f>$B90</f>
        <v/>
      </c>
      <c r="JW90" s="197" t="str">
        <f>$C90</f>
        <v/>
      </c>
      <c r="JX90" s="198" t="str">
        <f>$D90</f>
        <v/>
      </c>
      <c r="JY90" s="197" t="str">
        <f>$E90</f>
        <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t="str">
        <f t="shared" ref="KG90:KG105" si="1473">IF(OR(($C90&lt;&gt;"")*(JV90&lt;&gt;""),($E90&lt;&gt;"")*(JX90&lt;&gt;"")),($B90=JV90)*1+($D90=JX90)*1,"")</f>
        <v/>
      </c>
      <c r="KI90" s="196" t="str">
        <f>$B90</f>
        <v/>
      </c>
      <c r="KJ90" s="197" t="str">
        <f>$C90</f>
        <v/>
      </c>
      <c r="KK90" s="198" t="str">
        <f>$D90</f>
        <v/>
      </c>
      <c r="KL90" s="197" t="str">
        <f>$E90</f>
        <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t="str">
        <f t="shared" ref="KT90:KT105" si="1475">IF(OR(($C90&lt;&gt;"")*(KI90&lt;&gt;""),($E90&lt;&gt;"")*(KK90&lt;&gt;"")),($B90=KI90)*1+($D90=KK90)*1,"")</f>
        <v/>
      </c>
      <c r="KV90" s="196" t="str">
        <f>$B90</f>
        <v/>
      </c>
      <c r="KW90" s="197" t="str">
        <f>$C90</f>
        <v/>
      </c>
      <c r="KX90" s="198" t="str">
        <f>$D90</f>
        <v/>
      </c>
      <c r="KY90" s="197" t="str">
        <f>$E90</f>
        <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t="str">
        <f t="shared" ref="LG90:LG105" si="1477">IF(OR(($C90&lt;&gt;"")*(KV90&lt;&gt;""),($E90&lt;&gt;"")*(KX90&lt;&gt;"")),($B90=KV90)*1+($D90=KX90)*1,"")</f>
        <v/>
      </c>
      <c r="LI90" s="196" t="str">
        <f>$B90</f>
        <v/>
      </c>
      <c r="LJ90" s="197" t="str">
        <f>$C90</f>
        <v/>
      </c>
      <c r="LK90" s="198" t="str">
        <f>$D90</f>
        <v/>
      </c>
      <c r="LL90" s="197" t="str">
        <f>$E90</f>
        <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t="str">
        <f t="shared" ref="LT90:LT105" si="1479">IF(OR(($C90&lt;&gt;"")*(LI90&lt;&gt;""),($E90&lt;&gt;"")*(LK90&lt;&gt;"")),($B90=LI90)*1+($D90=LK90)*1,"")</f>
        <v/>
      </c>
      <c r="LV90" s="196" t="str">
        <f>$B90</f>
        <v/>
      </c>
      <c r="LW90" s="197" t="str">
        <f>$C90</f>
        <v/>
      </c>
      <c r="LX90" s="198" t="str">
        <f>$D90</f>
        <v/>
      </c>
      <c r="LY90" s="197" t="str">
        <f>$E90</f>
        <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t="str">
        <f t="shared" ref="MG90:MG105" si="1481">IF(OR(($C90&lt;&gt;"")*(LV90&lt;&gt;""),($E90&lt;&gt;"")*(LX90&lt;&gt;"")),($B90=LV90)*1+($D90=LX90)*1,"")</f>
        <v/>
      </c>
    </row>
    <row r="91" spans="1:345" x14ac:dyDescent="0.3">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t="str">
        <f t="shared" si="1431"/>
        <v/>
      </c>
      <c r="V91" s="196" t="str">
        <f t="shared" ref="V91:V105" si="1487">$B91</f>
        <v/>
      </c>
      <c r="W91" s="197" t="str">
        <f t="shared" ref="W91:W105" si="1488">$C91</f>
        <v/>
      </c>
      <c r="X91" s="198" t="str">
        <f t="shared" ref="X91:X105" si="1489">$D91</f>
        <v/>
      </c>
      <c r="Y91" s="197" t="str">
        <f t="shared" ref="Y91:Y105" si="1490">$E91</f>
        <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t="str">
        <f t="shared" si="1481"/>
        <v/>
      </c>
    </row>
    <row r="92" spans="1:345" x14ac:dyDescent="0.3">
      <c r="B92" s="196">
        <f>IF(C92="","",INDEX(Groups!$C$7:$C$65,MATCH(C92,Groups!$D$7:$D$65,0)))</f>
        <v>25</v>
      </c>
      <c r="C92" s="197" t="str">
        <f>'World Cup'!$H$50</f>
        <v>Rep. of Korea</v>
      </c>
      <c r="D92" s="198">
        <f>IF(E92="","",INDEX(Groups!$C$7:$C$65,MATCH(E92,Groups!$D$7:$D$65,0)))</f>
        <v>65</v>
      </c>
      <c r="E92" s="197" t="str">
        <f>'World Cup'!$I$50</f>
        <v>Bosnia/Herzeg.</v>
      </c>
      <c r="F92" s="199" t="str">
        <f>IF(AND('World Cup'!$H$51&lt;&gt;"",'World Cup'!$I$51&lt;&gt;""),'World Cup'!$H$51,"")</f>
        <v/>
      </c>
      <c r="G92" s="200" t="str">
        <f>IF(AND('World Cup'!$H$51&lt;&gt;"",'World Cup'!$I$51&lt;&gt;""),'World Cup'!$I$51,"")</f>
        <v/>
      </c>
      <c r="I92" s="196">
        <f t="shared" si="1482"/>
        <v>25</v>
      </c>
      <c r="J92" s="197" t="str">
        <f t="shared" si="1483"/>
        <v>Rep. of Korea</v>
      </c>
      <c r="K92" s="198">
        <f t="shared" si="1484"/>
        <v>65</v>
      </c>
      <c r="L92" s="197" t="str">
        <f t="shared" si="1485"/>
        <v>Bosnia/Herzeg.</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65</v>
      </c>
      <c r="Y92" s="197" t="str">
        <f t="shared" si="1490"/>
        <v>Bosnia/Herzeg.</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65</v>
      </c>
      <c r="AL92" s="197" t="str">
        <f t="shared" si="1495"/>
        <v>Bosnia/Herzeg.</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65</v>
      </c>
      <c r="AY92" s="197" t="str">
        <f t="shared" si="1500"/>
        <v>Bosnia/Herzeg.</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65</v>
      </c>
      <c r="BL92" s="197" t="str">
        <f t="shared" si="1505"/>
        <v>Bosnia/Herzeg.</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65</v>
      </c>
      <c r="BY92" s="197" t="str">
        <f t="shared" si="1510"/>
        <v>Bosnia/Herzeg.</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65</v>
      </c>
      <c r="CL92" s="197" t="str">
        <f t="shared" si="1515"/>
        <v>Bosnia/Herzeg.</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65</v>
      </c>
      <c r="CY92" s="197" t="str">
        <f t="shared" si="1520"/>
        <v>Bosnia/Herzeg.</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65</v>
      </c>
      <c r="DL92" s="197" t="str">
        <f t="shared" si="1525"/>
        <v>Bosnia/Herzeg.</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65</v>
      </c>
      <c r="DY92" s="197" t="str">
        <f t="shared" si="1530"/>
        <v>Bosnia/Herzeg.</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65</v>
      </c>
      <c r="EL92" s="197" t="str">
        <f t="shared" si="1535"/>
        <v>Bosnia/Herzeg.</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65</v>
      </c>
      <c r="EY92" s="197" t="str">
        <f t="shared" si="1540"/>
        <v>Bosnia/Herzeg.</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65</v>
      </c>
      <c r="FL92" s="197" t="str">
        <f t="shared" si="1545"/>
        <v>Bosnia/Herzeg.</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65</v>
      </c>
      <c r="FY92" s="197" t="str">
        <f t="shared" si="1550"/>
        <v>Bosnia/Herzeg.</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65</v>
      </c>
      <c r="GL92" s="197" t="str">
        <f t="shared" si="1555"/>
        <v>Bosnia/Herzeg.</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65</v>
      </c>
      <c r="GY92" s="197" t="str">
        <f t="shared" si="1560"/>
        <v>Bosnia/Herzeg.</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65</v>
      </c>
      <c r="HL92" s="197" t="str">
        <f t="shared" si="1565"/>
        <v>Bosnia/Herzeg.</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65</v>
      </c>
      <c r="HY92" s="197" t="str">
        <f t="shared" si="1570"/>
        <v>Bosnia/Herzeg.</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65</v>
      </c>
      <c r="IL92" s="197" t="str">
        <f t="shared" si="1575"/>
        <v>Bosnia/Herzeg.</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65</v>
      </c>
      <c r="IY92" s="197" t="str">
        <f t="shared" si="1580"/>
        <v>Bosnia/Herzeg.</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65</v>
      </c>
      <c r="JL92" s="197" t="str">
        <f t="shared" si="1585"/>
        <v>Bosnia/Herzeg.</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65</v>
      </c>
      <c r="JY92" s="197" t="str">
        <f t="shared" si="1590"/>
        <v>Bosnia/Herzeg.</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65</v>
      </c>
      <c r="KL92" s="197" t="str">
        <f t="shared" si="1595"/>
        <v>Bosnia/Herzeg.</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65</v>
      </c>
      <c r="KY92" s="197" t="str">
        <f t="shared" si="1600"/>
        <v>Bosnia/Herzeg.</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65</v>
      </c>
      <c r="LL92" s="197" t="str">
        <f t="shared" si="1605"/>
        <v>Bosnia/Herzeg.</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65</v>
      </c>
      <c r="LY92" s="197" t="str">
        <f t="shared" si="1610"/>
        <v>Bosnia/Herzeg.</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t="str">
        <f>IF(C93="","",INDEX(Groups!$C$7:$C$65,MATCH(C93,Groups!$D$7:$D$65,0)))</f>
        <v/>
      </c>
      <c r="C93" s="197" t="str">
        <f>'World Cup'!$K$50</f>
        <v/>
      </c>
      <c r="D93" s="198" t="str">
        <f>IF(E93="","",INDEX(Groups!$C$7:$C$65,MATCH(E93,Groups!$D$7:$D$65,0)))</f>
        <v/>
      </c>
      <c r="E93" s="197" t="str">
        <f>'World Cup'!$L$50</f>
        <v/>
      </c>
      <c r="F93" s="199" t="str">
        <f>IF(AND('World Cup'!$K$51&lt;&gt;"",'World Cup'!$L$51&lt;&gt;""),'World Cup'!$K$51,"")</f>
        <v/>
      </c>
      <c r="G93" s="200" t="str">
        <f>IF(AND('World Cup'!$K$51&lt;&gt;"",'World Cup'!$L$51&lt;&gt;""),'World Cup'!$L$51,"")</f>
        <v/>
      </c>
      <c r="I93" s="196" t="str">
        <f t="shared" si="1482"/>
        <v/>
      </c>
      <c r="J93" s="197" t="str">
        <f t="shared" si="1483"/>
        <v/>
      </c>
      <c r="K93" s="198" t="str">
        <f t="shared" si="1484"/>
        <v/>
      </c>
      <c r="L93" s="197" t="str">
        <f t="shared" si="1485"/>
        <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t="str">
        <f t="shared" si="1431"/>
        <v/>
      </c>
      <c r="V93" s="196" t="str">
        <f t="shared" si="1487"/>
        <v/>
      </c>
      <c r="W93" s="197" t="str">
        <f t="shared" si="1488"/>
        <v/>
      </c>
      <c r="X93" s="198" t="str">
        <f t="shared" si="1489"/>
        <v/>
      </c>
      <c r="Y93" s="197" t="str">
        <f t="shared" si="1490"/>
        <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t="str">
        <f t="shared" si="1433"/>
        <v/>
      </c>
      <c r="AI93" s="196" t="str">
        <f t="shared" si="1492"/>
        <v/>
      </c>
      <c r="AJ93" s="197" t="str">
        <f t="shared" si="1493"/>
        <v/>
      </c>
      <c r="AK93" s="198" t="str">
        <f t="shared" si="1494"/>
        <v/>
      </c>
      <c r="AL93" s="197" t="str">
        <f t="shared" si="1495"/>
        <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t="str">
        <f t="shared" si="1435"/>
        <v/>
      </c>
      <c r="AV93" s="196" t="str">
        <f t="shared" si="1497"/>
        <v/>
      </c>
      <c r="AW93" s="197" t="str">
        <f t="shared" si="1498"/>
        <v/>
      </c>
      <c r="AX93" s="198" t="str">
        <f t="shared" si="1499"/>
        <v/>
      </c>
      <c r="AY93" s="197" t="str">
        <f t="shared" si="1500"/>
        <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t="str">
        <f t="shared" si="1437"/>
        <v/>
      </c>
      <c r="BI93" s="196" t="str">
        <f t="shared" si="1502"/>
        <v/>
      </c>
      <c r="BJ93" s="197" t="str">
        <f t="shared" si="1503"/>
        <v/>
      </c>
      <c r="BK93" s="198" t="str">
        <f t="shared" si="1504"/>
        <v/>
      </c>
      <c r="BL93" s="197" t="str">
        <f t="shared" si="1505"/>
        <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t="str">
        <f t="shared" si="1439"/>
        <v/>
      </c>
      <c r="BV93" s="196" t="str">
        <f t="shared" si="1507"/>
        <v/>
      </c>
      <c r="BW93" s="197" t="str">
        <f t="shared" si="1508"/>
        <v/>
      </c>
      <c r="BX93" s="198" t="str">
        <f t="shared" si="1509"/>
        <v/>
      </c>
      <c r="BY93" s="197" t="str">
        <f t="shared" si="1510"/>
        <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t="str">
        <f t="shared" si="1441"/>
        <v/>
      </c>
      <c r="CI93" s="196" t="str">
        <f t="shared" si="1512"/>
        <v/>
      </c>
      <c r="CJ93" s="197" t="str">
        <f t="shared" si="1513"/>
        <v/>
      </c>
      <c r="CK93" s="198" t="str">
        <f t="shared" si="1514"/>
        <v/>
      </c>
      <c r="CL93" s="197" t="str">
        <f t="shared" si="1515"/>
        <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t="str">
        <f t="shared" si="1443"/>
        <v/>
      </c>
      <c r="CV93" s="196" t="str">
        <f t="shared" si="1517"/>
        <v/>
      </c>
      <c r="CW93" s="197" t="str">
        <f t="shared" si="1518"/>
        <v/>
      </c>
      <c r="CX93" s="198" t="str">
        <f t="shared" si="1519"/>
        <v/>
      </c>
      <c r="CY93" s="197" t="str">
        <f t="shared" si="1520"/>
        <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t="str">
        <f t="shared" si="1445"/>
        <v/>
      </c>
      <c r="DI93" s="196" t="str">
        <f t="shared" si="1522"/>
        <v/>
      </c>
      <c r="DJ93" s="197" t="str">
        <f t="shared" si="1523"/>
        <v/>
      </c>
      <c r="DK93" s="198" t="str">
        <f t="shared" si="1524"/>
        <v/>
      </c>
      <c r="DL93" s="197" t="str">
        <f t="shared" si="1525"/>
        <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t="str">
        <f t="shared" si="1447"/>
        <v/>
      </c>
      <c r="DV93" s="196" t="str">
        <f t="shared" si="1527"/>
        <v/>
      </c>
      <c r="DW93" s="197" t="str">
        <f t="shared" si="1528"/>
        <v/>
      </c>
      <c r="DX93" s="198" t="str">
        <f t="shared" si="1529"/>
        <v/>
      </c>
      <c r="DY93" s="197" t="str">
        <f t="shared" si="1530"/>
        <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t="str">
        <f t="shared" si="1449"/>
        <v/>
      </c>
      <c r="EI93" s="196" t="str">
        <f t="shared" si="1532"/>
        <v/>
      </c>
      <c r="EJ93" s="197" t="str">
        <f t="shared" si="1533"/>
        <v/>
      </c>
      <c r="EK93" s="198" t="str">
        <f t="shared" si="1534"/>
        <v/>
      </c>
      <c r="EL93" s="197" t="str">
        <f t="shared" si="1535"/>
        <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t="str">
        <f t="shared" si="1451"/>
        <v/>
      </c>
      <c r="EV93" s="196" t="str">
        <f t="shared" si="1537"/>
        <v/>
      </c>
      <c r="EW93" s="197" t="str">
        <f t="shared" si="1538"/>
        <v/>
      </c>
      <c r="EX93" s="198" t="str">
        <f t="shared" si="1539"/>
        <v/>
      </c>
      <c r="EY93" s="197" t="str">
        <f t="shared" si="1540"/>
        <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t="str">
        <f t="shared" si="1453"/>
        <v/>
      </c>
      <c r="FI93" s="196" t="str">
        <f t="shared" si="1542"/>
        <v/>
      </c>
      <c r="FJ93" s="197" t="str">
        <f t="shared" si="1543"/>
        <v/>
      </c>
      <c r="FK93" s="198" t="str">
        <f t="shared" si="1544"/>
        <v/>
      </c>
      <c r="FL93" s="197" t="str">
        <f t="shared" si="1545"/>
        <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t="str">
        <f t="shared" si="1455"/>
        <v/>
      </c>
      <c r="FV93" s="196" t="str">
        <f t="shared" si="1547"/>
        <v/>
      </c>
      <c r="FW93" s="197" t="str">
        <f t="shared" si="1548"/>
        <v/>
      </c>
      <c r="FX93" s="198" t="str">
        <f t="shared" si="1549"/>
        <v/>
      </c>
      <c r="FY93" s="197" t="str">
        <f t="shared" si="1550"/>
        <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t="str">
        <f t="shared" si="1457"/>
        <v/>
      </c>
      <c r="GI93" s="196" t="str">
        <f t="shared" si="1552"/>
        <v/>
      </c>
      <c r="GJ93" s="197" t="str">
        <f t="shared" si="1553"/>
        <v/>
      </c>
      <c r="GK93" s="198" t="str">
        <f t="shared" si="1554"/>
        <v/>
      </c>
      <c r="GL93" s="197" t="str">
        <f t="shared" si="1555"/>
        <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t="str">
        <f t="shared" si="1459"/>
        <v/>
      </c>
      <c r="GV93" s="196" t="str">
        <f t="shared" si="1557"/>
        <v/>
      </c>
      <c r="GW93" s="197" t="str">
        <f t="shared" si="1558"/>
        <v/>
      </c>
      <c r="GX93" s="198" t="str">
        <f t="shared" si="1559"/>
        <v/>
      </c>
      <c r="GY93" s="197" t="str">
        <f t="shared" si="1560"/>
        <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t="str">
        <f t="shared" si="1461"/>
        <v/>
      </c>
      <c r="HI93" s="196" t="str">
        <f t="shared" si="1562"/>
        <v/>
      </c>
      <c r="HJ93" s="197" t="str">
        <f t="shared" si="1563"/>
        <v/>
      </c>
      <c r="HK93" s="198" t="str">
        <f t="shared" si="1564"/>
        <v/>
      </c>
      <c r="HL93" s="197" t="str">
        <f t="shared" si="1565"/>
        <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t="str">
        <f t="shared" si="1463"/>
        <v/>
      </c>
      <c r="HV93" s="196" t="str">
        <f t="shared" si="1567"/>
        <v/>
      </c>
      <c r="HW93" s="197" t="str">
        <f t="shared" si="1568"/>
        <v/>
      </c>
      <c r="HX93" s="198" t="str">
        <f t="shared" si="1569"/>
        <v/>
      </c>
      <c r="HY93" s="197" t="str">
        <f t="shared" si="1570"/>
        <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t="str">
        <f t="shared" si="1465"/>
        <v/>
      </c>
      <c r="II93" s="196" t="str">
        <f t="shared" si="1572"/>
        <v/>
      </c>
      <c r="IJ93" s="197" t="str">
        <f t="shared" si="1573"/>
        <v/>
      </c>
      <c r="IK93" s="198" t="str">
        <f t="shared" si="1574"/>
        <v/>
      </c>
      <c r="IL93" s="197" t="str">
        <f t="shared" si="1575"/>
        <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t="str">
        <f t="shared" si="1467"/>
        <v/>
      </c>
      <c r="IV93" s="196" t="str">
        <f t="shared" si="1577"/>
        <v/>
      </c>
      <c r="IW93" s="197" t="str">
        <f t="shared" si="1578"/>
        <v/>
      </c>
      <c r="IX93" s="198" t="str">
        <f t="shared" si="1579"/>
        <v/>
      </c>
      <c r="IY93" s="197" t="str">
        <f t="shared" si="1580"/>
        <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t="str">
        <f t="shared" si="1469"/>
        <v/>
      </c>
      <c r="JI93" s="196" t="str">
        <f t="shared" si="1582"/>
        <v/>
      </c>
      <c r="JJ93" s="197" t="str">
        <f t="shared" si="1583"/>
        <v/>
      </c>
      <c r="JK93" s="198" t="str">
        <f t="shared" si="1584"/>
        <v/>
      </c>
      <c r="JL93" s="197" t="str">
        <f t="shared" si="1585"/>
        <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t="str">
        <f t="shared" si="1471"/>
        <v/>
      </c>
      <c r="JV93" s="196" t="str">
        <f t="shared" si="1587"/>
        <v/>
      </c>
      <c r="JW93" s="197" t="str">
        <f t="shared" si="1588"/>
        <v/>
      </c>
      <c r="JX93" s="198" t="str">
        <f t="shared" si="1589"/>
        <v/>
      </c>
      <c r="JY93" s="197" t="str">
        <f t="shared" si="1590"/>
        <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t="str">
        <f t="shared" si="1473"/>
        <v/>
      </c>
      <c r="KI93" s="196" t="str">
        <f t="shared" si="1592"/>
        <v/>
      </c>
      <c r="KJ93" s="197" t="str">
        <f t="shared" si="1593"/>
        <v/>
      </c>
      <c r="KK93" s="198" t="str">
        <f t="shared" si="1594"/>
        <v/>
      </c>
      <c r="KL93" s="197" t="str">
        <f t="shared" si="1595"/>
        <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t="str">
        <f t="shared" si="1475"/>
        <v/>
      </c>
      <c r="KV93" s="196" t="str">
        <f t="shared" si="1597"/>
        <v/>
      </c>
      <c r="KW93" s="197" t="str">
        <f t="shared" si="1598"/>
        <v/>
      </c>
      <c r="KX93" s="198" t="str">
        <f t="shared" si="1599"/>
        <v/>
      </c>
      <c r="KY93" s="197" t="str">
        <f t="shared" si="1600"/>
        <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t="str">
        <f t="shared" si="1477"/>
        <v/>
      </c>
      <c r="LI93" s="196" t="str">
        <f t="shared" si="1602"/>
        <v/>
      </c>
      <c r="LJ93" s="197" t="str">
        <f t="shared" si="1603"/>
        <v/>
      </c>
      <c r="LK93" s="198" t="str">
        <f t="shared" si="1604"/>
        <v/>
      </c>
      <c r="LL93" s="197" t="str">
        <f t="shared" si="1605"/>
        <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t="str">
        <f t="shared" si="1479"/>
        <v/>
      </c>
      <c r="LV93" s="196" t="str">
        <f t="shared" si="1607"/>
        <v/>
      </c>
      <c r="LW93" s="197" t="str">
        <f t="shared" si="1608"/>
        <v/>
      </c>
      <c r="LX93" s="198" t="str">
        <f t="shared" si="1609"/>
        <v/>
      </c>
      <c r="LY93" s="197" t="str">
        <f t="shared" si="1610"/>
        <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t="str">
        <f t="shared" si="1481"/>
        <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x14ac:dyDescent="0.3">
      <c r="B96" s="196">
        <f>IF(C96="","",INDEX(Groups!$C$7:$C$65,MATCH(C96,Groups!$D$7:$D$65,0)))</f>
        <v>16</v>
      </c>
      <c r="C96" s="197" t="str">
        <f>'World Cup'!$T$50</f>
        <v>USA</v>
      </c>
      <c r="D96" s="198" t="str">
        <f>IF(E96="","",INDEX(Groups!$C$7:$C$65,MATCH(E96,Groups!$D$7:$D$65,0)))</f>
        <v/>
      </c>
      <c r="E96" s="197" t="str">
        <f>'World Cup'!$U$50</f>
        <v/>
      </c>
      <c r="F96" s="199" t="str">
        <f>IF(AND('World Cup'!$T$51&lt;&gt;"",'World Cup'!$U$51&lt;&gt;""),'World Cup'!$T$51,"")</f>
        <v/>
      </c>
      <c r="G96" s="200" t="str">
        <f>IF(AND('World Cup'!$T$51&lt;&gt;"",'World Cup'!$U$51&lt;&gt;""),'World Cup'!$U$51,"")</f>
        <v/>
      </c>
      <c r="I96" s="196">
        <f t="shared" si="1482"/>
        <v>16</v>
      </c>
      <c r="J96" s="197" t="str">
        <f t="shared" si="1483"/>
        <v>USA</v>
      </c>
      <c r="K96" s="198" t="str">
        <f t="shared" si="1484"/>
        <v/>
      </c>
      <c r="L96" s="197" t="str">
        <f t="shared" si="1485"/>
        <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t="str">
        <f t="shared" si="1489"/>
        <v/>
      </c>
      <c r="Y96" s="197" t="str">
        <f t="shared" si="1490"/>
        <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t="str">
        <f t="shared" si="1494"/>
        <v/>
      </c>
      <c r="AL96" s="197" t="str">
        <f t="shared" si="1495"/>
        <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t="str">
        <f t="shared" si="1499"/>
        <v/>
      </c>
      <c r="AY96" s="197" t="str">
        <f t="shared" si="1500"/>
        <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t="str">
        <f t="shared" si="1504"/>
        <v/>
      </c>
      <c r="BL96" s="197" t="str">
        <f t="shared" si="1505"/>
        <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t="str">
        <f t="shared" si="1509"/>
        <v/>
      </c>
      <c r="BY96" s="197" t="str">
        <f t="shared" si="1510"/>
        <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t="str">
        <f t="shared" si="1514"/>
        <v/>
      </c>
      <c r="CL96" s="197" t="str">
        <f t="shared" si="1515"/>
        <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t="str">
        <f t="shared" si="1519"/>
        <v/>
      </c>
      <c r="CY96" s="197" t="str">
        <f t="shared" si="1520"/>
        <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t="str">
        <f t="shared" si="1524"/>
        <v/>
      </c>
      <c r="DL96" s="197" t="str">
        <f t="shared" si="1525"/>
        <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t="str">
        <f t="shared" si="1529"/>
        <v/>
      </c>
      <c r="DY96" s="197" t="str">
        <f t="shared" si="1530"/>
        <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t="str">
        <f t="shared" si="1534"/>
        <v/>
      </c>
      <c r="EL96" s="197" t="str">
        <f t="shared" si="1535"/>
        <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t="str">
        <f t="shared" si="1539"/>
        <v/>
      </c>
      <c r="EY96" s="197" t="str">
        <f t="shared" si="1540"/>
        <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t="str">
        <f t="shared" si="1544"/>
        <v/>
      </c>
      <c r="FL96" s="197" t="str">
        <f t="shared" si="1545"/>
        <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t="str">
        <f t="shared" si="1549"/>
        <v/>
      </c>
      <c r="FY96" s="197" t="str">
        <f t="shared" si="1550"/>
        <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t="str">
        <f t="shared" si="1554"/>
        <v/>
      </c>
      <c r="GL96" s="197" t="str">
        <f t="shared" si="1555"/>
        <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t="str">
        <f t="shared" si="1559"/>
        <v/>
      </c>
      <c r="GY96" s="197" t="str">
        <f t="shared" si="1560"/>
        <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t="str">
        <f t="shared" si="1564"/>
        <v/>
      </c>
      <c r="HL96" s="197" t="str">
        <f t="shared" si="1565"/>
        <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t="str">
        <f t="shared" si="1569"/>
        <v/>
      </c>
      <c r="HY96" s="197" t="str">
        <f t="shared" si="1570"/>
        <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t="str">
        <f t="shared" si="1574"/>
        <v/>
      </c>
      <c r="IL96" s="197" t="str">
        <f t="shared" si="1575"/>
        <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t="str">
        <f t="shared" si="1579"/>
        <v/>
      </c>
      <c r="IY96" s="197" t="str">
        <f t="shared" si="1580"/>
        <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t="str">
        <f t="shared" si="1584"/>
        <v/>
      </c>
      <c r="JL96" s="197" t="str">
        <f t="shared" si="1585"/>
        <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t="str">
        <f t="shared" si="1589"/>
        <v/>
      </c>
      <c r="JY96" s="197" t="str">
        <f t="shared" si="1590"/>
        <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t="str">
        <f t="shared" si="1594"/>
        <v/>
      </c>
      <c r="KL96" s="197" t="str">
        <f t="shared" si="1595"/>
        <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t="str">
        <f t="shared" si="1599"/>
        <v/>
      </c>
      <c r="KY96" s="197" t="str">
        <f t="shared" si="1600"/>
        <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t="str">
        <f t="shared" si="1604"/>
        <v/>
      </c>
      <c r="LL96" s="197" t="str">
        <f t="shared" si="1605"/>
        <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t="str">
        <f t="shared" si="1609"/>
        <v/>
      </c>
      <c r="LY96" s="197" t="str">
        <f t="shared" si="1610"/>
        <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x14ac:dyDescent="0.3">
      <c r="B98" s="196" t="str">
        <f>IF(C98="","",INDEX(Groups!$C$7:$C$65,MATCH(C98,Groups!$D$7:$D$65,0)))</f>
        <v/>
      </c>
      <c r="C98" s="197" t="str">
        <f>'World Cup'!$Z$50</f>
        <v/>
      </c>
      <c r="D98" s="198" t="str">
        <f>IF(E98="","",INDEX(Groups!$C$7:$C$65,MATCH(E98,Groups!$D$7:$D$65,0)))</f>
        <v/>
      </c>
      <c r="E98" s="197" t="str">
        <f>'World Cup'!$AA$50</f>
        <v/>
      </c>
      <c r="F98" s="199" t="str">
        <f>IF(AND('World Cup'!$Z$51&lt;&gt;"",'World Cup'!$AA$51&lt;&gt;""),'World Cup'!$Z$51,"")</f>
        <v/>
      </c>
      <c r="G98" s="200" t="str">
        <f>IF(AND('World Cup'!$Z$51&lt;&gt;"",'World Cup'!$AA$51&lt;&gt;""),'World Cup'!$AA$51,"")</f>
        <v/>
      </c>
      <c r="I98" s="196" t="str">
        <f t="shared" si="1482"/>
        <v/>
      </c>
      <c r="J98" s="197" t="str">
        <f t="shared" si="1483"/>
        <v/>
      </c>
      <c r="K98" s="198" t="str">
        <f t="shared" si="1484"/>
        <v/>
      </c>
      <c r="L98" s="197" t="str">
        <f t="shared" si="1485"/>
        <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t="str">
        <f t="shared" si="1431"/>
        <v/>
      </c>
      <c r="V98" s="196" t="str">
        <f t="shared" si="1487"/>
        <v/>
      </c>
      <c r="W98" s="197" t="str">
        <f t="shared" si="1488"/>
        <v/>
      </c>
      <c r="X98" s="198" t="str">
        <f t="shared" si="1489"/>
        <v/>
      </c>
      <c r="Y98" s="197" t="str">
        <f t="shared" si="1490"/>
        <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t="str">
        <f t="shared" si="1433"/>
        <v/>
      </c>
      <c r="AI98" s="196" t="str">
        <f t="shared" si="1492"/>
        <v/>
      </c>
      <c r="AJ98" s="197" t="str">
        <f t="shared" si="1493"/>
        <v/>
      </c>
      <c r="AK98" s="198" t="str">
        <f t="shared" si="1494"/>
        <v/>
      </c>
      <c r="AL98" s="197" t="str">
        <f t="shared" si="1495"/>
        <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t="str">
        <f t="shared" si="1435"/>
        <v/>
      </c>
      <c r="AV98" s="196" t="str">
        <f t="shared" si="1497"/>
        <v/>
      </c>
      <c r="AW98" s="197" t="str">
        <f t="shared" si="1498"/>
        <v/>
      </c>
      <c r="AX98" s="198" t="str">
        <f t="shared" si="1499"/>
        <v/>
      </c>
      <c r="AY98" s="197" t="str">
        <f t="shared" si="1500"/>
        <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t="str">
        <f t="shared" si="1437"/>
        <v/>
      </c>
      <c r="BI98" s="196" t="str">
        <f t="shared" si="1502"/>
        <v/>
      </c>
      <c r="BJ98" s="197" t="str">
        <f t="shared" si="1503"/>
        <v/>
      </c>
      <c r="BK98" s="198" t="str">
        <f t="shared" si="1504"/>
        <v/>
      </c>
      <c r="BL98" s="197" t="str">
        <f t="shared" si="1505"/>
        <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t="str">
        <f t="shared" si="1439"/>
        <v/>
      </c>
      <c r="BV98" s="196" t="str">
        <f t="shared" si="1507"/>
        <v/>
      </c>
      <c r="BW98" s="197" t="str">
        <f t="shared" si="1508"/>
        <v/>
      </c>
      <c r="BX98" s="198" t="str">
        <f t="shared" si="1509"/>
        <v/>
      </c>
      <c r="BY98" s="197" t="str">
        <f t="shared" si="1510"/>
        <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t="str">
        <f t="shared" si="1441"/>
        <v/>
      </c>
      <c r="CI98" s="196" t="str">
        <f t="shared" si="1512"/>
        <v/>
      </c>
      <c r="CJ98" s="197" t="str">
        <f t="shared" si="1513"/>
        <v/>
      </c>
      <c r="CK98" s="198" t="str">
        <f t="shared" si="1514"/>
        <v/>
      </c>
      <c r="CL98" s="197" t="str">
        <f t="shared" si="1515"/>
        <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t="str">
        <f t="shared" si="1443"/>
        <v/>
      </c>
      <c r="CV98" s="196" t="str">
        <f t="shared" si="1517"/>
        <v/>
      </c>
      <c r="CW98" s="197" t="str">
        <f t="shared" si="1518"/>
        <v/>
      </c>
      <c r="CX98" s="198" t="str">
        <f t="shared" si="1519"/>
        <v/>
      </c>
      <c r="CY98" s="197" t="str">
        <f t="shared" si="1520"/>
        <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t="str">
        <f t="shared" si="1445"/>
        <v/>
      </c>
      <c r="DI98" s="196" t="str">
        <f t="shared" si="1522"/>
        <v/>
      </c>
      <c r="DJ98" s="197" t="str">
        <f t="shared" si="1523"/>
        <v/>
      </c>
      <c r="DK98" s="198" t="str">
        <f t="shared" si="1524"/>
        <v/>
      </c>
      <c r="DL98" s="197" t="str">
        <f t="shared" si="1525"/>
        <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t="str">
        <f t="shared" si="1447"/>
        <v/>
      </c>
      <c r="DV98" s="196" t="str">
        <f t="shared" si="1527"/>
        <v/>
      </c>
      <c r="DW98" s="197" t="str">
        <f t="shared" si="1528"/>
        <v/>
      </c>
      <c r="DX98" s="198" t="str">
        <f t="shared" si="1529"/>
        <v/>
      </c>
      <c r="DY98" s="197" t="str">
        <f t="shared" si="1530"/>
        <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t="str">
        <f t="shared" si="1449"/>
        <v/>
      </c>
      <c r="EI98" s="196" t="str">
        <f t="shared" si="1532"/>
        <v/>
      </c>
      <c r="EJ98" s="197" t="str">
        <f t="shared" si="1533"/>
        <v/>
      </c>
      <c r="EK98" s="198" t="str">
        <f t="shared" si="1534"/>
        <v/>
      </c>
      <c r="EL98" s="197" t="str">
        <f t="shared" si="1535"/>
        <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t="str">
        <f t="shared" si="1451"/>
        <v/>
      </c>
      <c r="EV98" s="196" t="str">
        <f t="shared" si="1537"/>
        <v/>
      </c>
      <c r="EW98" s="197" t="str">
        <f t="shared" si="1538"/>
        <v/>
      </c>
      <c r="EX98" s="198" t="str">
        <f t="shared" si="1539"/>
        <v/>
      </c>
      <c r="EY98" s="197" t="str">
        <f t="shared" si="1540"/>
        <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t="str">
        <f t="shared" si="1453"/>
        <v/>
      </c>
      <c r="FI98" s="196" t="str">
        <f t="shared" si="1542"/>
        <v/>
      </c>
      <c r="FJ98" s="197" t="str">
        <f t="shared" si="1543"/>
        <v/>
      </c>
      <c r="FK98" s="198" t="str">
        <f t="shared" si="1544"/>
        <v/>
      </c>
      <c r="FL98" s="197" t="str">
        <f t="shared" si="1545"/>
        <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t="str">
        <f t="shared" si="1455"/>
        <v/>
      </c>
      <c r="FV98" s="196" t="str">
        <f t="shared" si="1547"/>
        <v/>
      </c>
      <c r="FW98" s="197" t="str">
        <f t="shared" si="1548"/>
        <v/>
      </c>
      <c r="FX98" s="198" t="str">
        <f t="shared" si="1549"/>
        <v/>
      </c>
      <c r="FY98" s="197" t="str">
        <f t="shared" si="1550"/>
        <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t="str">
        <f t="shared" si="1457"/>
        <v/>
      </c>
      <c r="GI98" s="196" t="str">
        <f t="shared" si="1552"/>
        <v/>
      </c>
      <c r="GJ98" s="197" t="str">
        <f t="shared" si="1553"/>
        <v/>
      </c>
      <c r="GK98" s="198" t="str">
        <f t="shared" si="1554"/>
        <v/>
      </c>
      <c r="GL98" s="197" t="str">
        <f t="shared" si="1555"/>
        <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t="str">
        <f t="shared" si="1459"/>
        <v/>
      </c>
      <c r="GV98" s="196" t="str">
        <f t="shared" si="1557"/>
        <v/>
      </c>
      <c r="GW98" s="197" t="str">
        <f t="shared" si="1558"/>
        <v/>
      </c>
      <c r="GX98" s="198" t="str">
        <f t="shared" si="1559"/>
        <v/>
      </c>
      <c r="GY98" s="197" t="str">
        <f t="shared" si="1560"/>
        <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t="str">
        <f t="shared" si="1461"/>
        <v/>
      </c>
      <c r="HI98" s="196" t="str">
        <f t="shared" si="1562"/>
        <v/>
      </c>
      <c r="HJ98" s="197" t="str">
        <f t="shared" si="1563"/>
        <v/>
      </c>
      <c r="HK98" s="198" t="str">
        <f t="shared" si="1564"/>
        <v/>
      </c>
      <c r="HL98" s="197" t="str">
        <f t="shared" si="1565"/>
        <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t="str">
        <f t="shared" si="1463"/>
        <v/>
      </c>
      <c r="HV98" s="196" t="str">
        <f t="shared" si="1567"/>
        <v/>
      </c>
      <c r="HW98" s="197" t="str">
        <f t="shared" si="1568"/>
        <v/>
      </c>
      <c r="HX98" s="198" t="str">
        <f t="shared" si="1569"/>
        <v/>
      </c>
      <c r="HY98" s="197" t="str">
        <f t="shared" si="1570"/>
        <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t="str">
        <f t="shared" si="1465"/>
        <v/>
      </c>
      <c r="II98" s="196" t="str">
        <f t="shared" si="1572"/>
        <v/>
      </c>
      <c r="IJ98" s="197" t="str">
        <f t="shared" si="1573"/>
        <v/>
      </c>
      <c r="IK98" s="198" t="str">
        <f t="shared" si="1574"/>
        <v/>
      </c>
      <c r="IL98" s="197" t="str">
        <f t="shared" si="1575"/>
        <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t="str">
        <f t="shared" si="1467"/>
        <v/>
      </c>
      <c r="IV98" s="196" t="str">
        <f t="shared" si="1577"/>
        <v/>
      </c>
      <c r="IW98" s="197" t="str">
        <f t="shared" si="1578"/>
        <v/>
      </c>
      <c r="IX98" s="198" t="str">
        <f t="shared" si="1579"/>
        <v/>
      </c>
      <c r="IY98" s="197" t="str">
        <f t="shared" si="1580"/>
        <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t="str">
        <f t="shared" si="1469"/>
        <v/>
      </c>
      <c r="JI98" s="196" t="str">
        <f t="shared" si="1582"/>
        <v/>
      </c>
      <c r="JJ98" s="197" t="str">
        <f t="shared" si="1583"/>
        <v/>
      </c>
      <c r="JK98" s="198" t="str">
        <f t="shared" si="1584"/>
        <v/>
      </c>
      <c r="JL98" s="197" t="str">
        <f t="shared" si="1585"/>
        <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t="str">
        <f t="shared" si="1471"/>
        <v/>
      </c>
      <c r="JV98" s="196" t="str">
        <f t="shared" si="1587"/>
        <v/>
      </c>
      <c r="JW98" s="197" t="str">
        <f t="shared" si="1588"/>
        <v/>
      </c>
      <c r="JX98" s="198" t="str">
        <f t="shared" si="1589"/>
        <v/>
      </c>
      <c r="JY98" s="197" t="str">
        <f t="shared" si="1590"/>
        <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t="str">
        <f t="shared" si="1473"/>
        <v/>
      </c>
      <c r="KI98" s="196" t="str">
        <f t="shared" si="1592"/>
        <v/>
      </c>
      <c r="KJ98" s="197" t="str">
        <f t="shared" si="1593"/>
        <v/>
      </c>
      <c r="KK98" s="198" t="str">
        <f t="shared" si="1594"/>
        <v/>
      </c>
      <c r="KL98" s="197" t="str">
        <f t="shared" si="1595"/>
        <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t="str">
        <f t="shared" si="1475"/>
        <v/>
      </c>
      <c r="KV98" s="196" t="str">
        <f t="shared" si="1597"/>
        <v/>
      </c>
      <c r="KW98" s="197" t="str">
        <f t="shared" si="1598"/>
        <v/>
      </c>
      <c r="KX98" s="198" t="str">
        <f t="shared" si="1599"/>
        <v/>
      </c>
      <c r="KY98" s="197" t="str">
        <f t="shared" si="1600"/>
        <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t="str">
        <f t="shared" si="1477"/>
        <v/>
      </c>
      <c r="LI98" s="196" t="str">
        <f t="shared" si="1602"/>
        <v/>
      </c>
      <c r="LJ98" s="197" t="str">
        <f t="shared" si="1603"/>
        <v/>
      </c>
      <c r="LK98" s="198" t="str">
        <f t="shared" si="1604"/>
        <v/>
      </c>
      <c r="LL98" s="197" t="str">
        <f t="shared" si="1605"/>
        <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t="str">
        <f t="shared" si="1479"/>
        <v/>
      </c>
      <c r="LV98" s="196" t="str">
        <f t="shared" si="1607"/>
        <v/>
      </c>
      <c r="LW98" s="197" t="str">
        <f t="shared" si="1608"/>
        <v/>
      </c>
      <c r="LX98" s="198" t="str">
        <f t="shared" si="1609"/>
        <v/>
      </c>
      <c r="LY98" s="197" t="str">
        <f t="shared" si="1610"/>
        <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t="str">
        <f t="shared" si="1481"/>
        <v/>
      </c>
    </row>
    <row r="99" spans="1:345" x14ac:dyDescent="0.3">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t="str">
        <f t="shared" si="1431"/>
        <v/>
      </c>
      <c r="V99" s="196" t="str">
        <f t="shared" si="1487"/>
        <v/>
      </c>
      <c r="W99" s="197" t="str">
        <f t="shared" si="1488"/>
        <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t="str">
        <f t="shared" si="1433"/>
        <v/>
      </c>
      <c r="AI99" s="196" t="str">
        <f t="shared" si="1492"/>
        <v/>
      </c>
      <c r="AJ99" s="197" t="str">
        <f t="shared" si="1493"/>
        <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t="str">
        <f t="shared" si="1435"/>
        <v/>
      </c>
      <c r="AV99" s="196" t="str">
        <f t="shared" si="1497"/>
        <v/>
      </c>
      <c r="AW99" s="197" t="str">
        <f t="shared" si="1498"/>
        <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t="str">
        <f t="shared" si="1437"/>
        <v/>
      </c>
      <c r="BI99" s="196" t="str">
        <f t="shared" si="1502"/>
        <v/>
      </c>
      <c r="BJ99" s="197" t="str">
        <f t="shared" si="1503"/>
        <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t="str">
        <f t="shared" si="1439"/>
        <v/>
      </c>
      <c r="BV99" s="196" t="str">
        <f t="shared" si="1507"/>
        <v/>
      </c>
      <c r="BW99" s="197" t="str">
        <f t="shared" si="1508"/>
        <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t="str">
        <f t="shared" si="1441"/>
        <v/>
      </c>
      <c r="CI99" s="196" t="str">
        <f t="shared" si="1512"/>
        <v/>
      </c>
      <c r="CJ99" s="197" t="str">
        <f t="shared" si="1513"/>
        <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t="str">
        <f t="shared" si="1443"/>
        <v/>
      </c>
      <c r="CV99" s="196" t="str">
        <f t="shared" si="1517"/>
        <v/>
      </c>
      <c r="CW99" s="197" t="str">
        <f t="shared" si="1518"/>
        <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t="str">
        <f t="shared" si="1445"/>
        <v/>
      </c>
      <c r="DI99" s="196" t="str">
        <f t="shared" si="1522"/>
        <v/>
      </c>
      <c r="DJ99" s="197" t="str">
        <f t="shared" si="1523"/>
        <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t="str">
        <f t="shared" si="1447"/>
        <v/>
      </c>
      <c r="DV99" s="196" t="str">
        <f t="shared" si="1527"/>
        <v/>
      </c>
      <c r="DW99" s="197" t="str">
        <f t="shared" si="1528"/>
        <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t="str">
        <f t="shared" si="1449"/>
        <v/>
      </c>
      <c r="EI99" s="196" t="str">
        <f t="shared" si="1532"/>
        <v/>
      </c>
      <c r="EJ99" s="197" t="str">
        <f t="shared" si="1533"/>
        <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t="str">
        <f t="shared" si="1451"/>
        <v/>
      </c>
      <c r="EV99" s="196" t="str">
        <f t="shared" si="1537"/>
        <v/>
      </c>
      <c r="EW99" s="197" t="str">
        <f t="shared" si="1538"/>
        <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t="str">
        <f t="shared" si="1453"/>
        <v/>
      </c>
      <c r="FI99" s="196" t="str">
        <f t="shared" si="1542"/>
        <v/>
      </c>
      <c r="FJ99" s="197" t="str">
        <f t="shared" si="1543"/>
        <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t="str">
        <f t="shared" si="1455"/>
        <v/>
      </c>
      <c r="FV99" s="196" t="str">
        <f t="shared" si="1547"/>
        <v/>
      </c>
      <c r="FW99" s="197" t="str">
        <f t="shared" si="1548"/>
        <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t="str">
        <f t="shared" si="1457"/>
        <v/>
      </c>
      <c r="GI99" s="196" t="str">
        <f t="shared" si="1552"/>
        <v/>
      </c>
      <c r="GJ99" s="197" t="str">
        <f t="shared" si="1553"/>
        <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t="str">
        <f t="shared" si="1459"/>
        <v/>
      </c>
      <c r="GV99" s="196" t="str">
        <f t="shared" si="1557"/>
        <v/>
      </c>
      <c r="GW99" s="197" t="str">
        <f t="shared" si="1558"/>
        <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t="str">
        <f t="shared" si="1461"/>
        <v/>
      </c>
      <c r="HI99" s="196" t="str">
        <f t="shared" si="1562"/>
        <v/>
      </c>
      <c r="HJ99" s="197" t="str">
        <f t="shared" si="1563"/>
        <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t="str">
        <f t="shared" si="1463"/>
        <v/>
      </c>
      <c r="HV99" s="196" t="str">
        <f t="shared" si="1567"/>
        <v/>
      </c>
      <c r="HW99" s="197" t="str">
        <f t="shared" si="1568"/>
        <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t="str">
        <f t="shared" si="1465"/>
        <v/>
      </c>
      <c r="II99" s="196" t="str">
        <f t="shared" si="1572"/>
        <v/>
      </c>
      <c r="IJ99" s="197" t="str">
        <f t="shared" si="1573"/>
        <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t="str">
        <f t="shared" si="1467"/>
        <v/>
      </c>
      <c r="IV99" s="196" t="str">
        <f t="shared" si="1577"/>
        <v/>
      </c>
      <c r="IW99" s="197" t="str">
        <f t="shared" si="1578"/>
        <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t="str">
        <f t="shared" si="1469"/>
        <v/>
      </c>
      <c r="JI99" s="196" t="str">
        <f t="shared" si="1582"/>
        <v/>
      </c>
      <c r="JJ99" s="197" t="str">
        <f t="shared" si="1583"/>
        <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t="str">
        <f t="shared" si="1471"/>
        <v/>
      </c>
      <c r="JV99" s="196" t="str">
        <f t="shared" si="1587"/>
        <v/>
      </c>
      <c r="JW99" s="197" t="str">
        <f t="shared" si="1588"/>
        <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t="str">
        <f t="shared" si="1473"/>
        <v/>
      </c>
      <c r="KI99" s="196" t="str">
        <f t="shared" si="1592"/>
        <v/>
      </c>
      <c r="KJ99" s="197" t="str">
        <f t="shared" si="1593"/>
        <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t="str">
        <f t="shared" si="1475"/>
        <v/>
      </c>
      <c r="KV99" s="196" t="str">
        <f t="shared" si="1597"/>
        <v/>
      </c>
      <c r="KW99" s="197" t="str">
        <f t="shared" si="1598"/>
        <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t="str">
        <f t="shared" si="1477"/>
        <v/>
      </c>
      <c r="LI99" s="196" t="str">
        <f t="shared" si="1602"/>
        <v/>
      </c>
      <c r="LJ99" s="197" t="str">
        <f t="shared" si="1603"/>
        <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t="str">
        <f t="shared" si="1479"/>
        <v/>
      </c>
      <c r="LV99" s="196" t="str">
        <f t="shared" si="1607"/>
        <v/>
      </c>
      <c r="LW99" s="197" t="str">
        <f t="shared" si="1608"/>
        <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t="str">
        <f t="shared" si="1481"/>
        <v/>
      </c>
    </row>
    <row r="100" spans="1:345" x14ac:dyDescent="0.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f>
        <v/>
      </c>
      <c r="G100" s="200" t="str">
        <f>IF(AND('World Cup'!$AF$51&lt;&gt;"",'World Cup'!$AG$51&lt;&gt;""),'World Cup'!$AG$51,"")</f>
        <v/>
      </c>
      <c r="I100" s="196">
        <f t="shared" si="1482"/>
        <v>15</v>
      </c>
      <c r="J100" s="197" t="str">
        <f t="shared" si="1483"/>
        <v>Mexico</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x14ac:dyDescent="0.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f>
        <v/>
      </c>
      <c r="G103" s="200" t="str">
        <f>IF(AND('World Cup'!$AO$51&lt;&gt;"",'World Cup'!$AP$51&lt;&gt;""),'World Cup'!$AP$51,"")</f>
        <v/>
      </c>
      <c r="I103" s="196" t="str">
        <f t="shared" si="1482"/>
        <v/>
      </c>
      <c r="J103" s="197" t="str">
        <f t="shared" si="1483"/>
        <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t="str">
        <f t="shared" si="1431"/>
        <v/>
      </c>
      <c r="V103" s="196" t="str">
        <f t="shared" si="1487"/>
        <v/>
      </c>
      <c r="W103" s="197" t="str">
        <f t="shared" si="1488"/>
        <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t="str">
        <f t="shared" si="1433"/>
        <v/>
      </c>
      <c r="AI103" s="196" t="str">
        <f t="shared" si="1492"/>
        <v/>
      </c>
      <c r="AJ103" s="197" t="str">
        <f t="shared" si="1493"/>
        <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t="str">
        <f t="shared" si="1435"/>
        <v/>
      </c>
      <c r="AV103" s="196" t="str">
        <f t="shared" si="1497"/>
        <v/>
      </c>
      <c r="AW103" s="197" t="str">
        <f t="shared" si="1498"/>
        <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t="str">
        <f t="shared" si="1437"/>
        <v/>
      </c>
      <c r="BI103" s="196" t="str">
        <f t="shared" si="1502"/>
        <v/>
      </c>
      <c r="BJ103" s="197" t="str">
        <f t="shared" si="1503"/>
        <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t="str">
        <f t="shared" si="1439"/>
        <v/>
      </c>
      <c r="BV103" s="196" t="str">
        <f t="shared" si="1507"/>
        <v/>
      </c>
      <c r="BW103" s="197" t="str">
        <f t="shared" si="1508"/>
        <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t="str">
        <f t="shared" si="1441"/>
        <v/>
      </c>
      <c r="CI103" s="196" t="str">
        <f t="shared" si="1512"/>
        <v/>
      </c>
      <c r="CJ103" s="197" t="str">
        <f t="shared" si="1513"/>
        <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t="str">
        <f t="shared" si="1443"/>
        <v/>
      </c>
      <c r="CV103" s="196" t="str">
        <f t="shared" si="1517"/>
        <v/>
      </c>
      <c r="CW103" s="197" t="str">
        <f t="shared" si="1518"/>
        <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t="str">
        <f t="shared" si="1445"/>
        <v/>
      </c>
      <c r="DI103" s="196" t="str">
        <f t="shared" si="1522"/>
        <v/>
      </c>
      <c r="DJ103" s="197" t="str">
        <f t="shared" si="1523"/>
        <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t="str">
        <f t="shared" si="1447"/>
        <v/>
      </c>
      <c r="DV103" s="196" t="str">
        <f t="shared" si="1527"/>
        <v/>
      </c>
      <c r="DW103" s="197" t="str">
        <f t="shared" si="1528"/>
        <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t="str">
        <f t="shared" si="1449"/>
        <v/>
      </c>
      <c r="EI103" s="196" t="str">
        <f t="shared" si="1532"/>
        <v/>
      </c>
      <c r="EJ103" s="197" t="str">
        <f t="shared" si="1533"/>
        <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t="str">
        <f t="shared" si="1451"/>
        <v/>
      </c>
      <c r="EV103" s="196" t="str">
        <f t="shared" si="1537"/>
        <v/>
      </c>
      <c r="EW103" s="197" t="str">
        <f t="shared" si="1538"/>
        <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t="str">
        <f t="shared" si="1453"/>
        <v/>
      </c>
      <c r="FI103" s="196" t="str">
        <f t="shared" si="1542"/>
        <v/>
      </c>
      <c r="FJ103" s="197" t="str">
        <f t="shared" si="1543"/>
        <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t="str">
        <f t="shared" si="1455"/>
        <v/>
      </c>
      <c r="FV103" s="196" t="str">
        <f t="shared" si="1547"/>
        <v/>
      </c>
      <c r="FW103" s="197" t="str">
        <f t="shared" si="1548"/>
        <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t="str">
        <f t="shared" si="1457"/>
        <v/>
      </c>
      <c r="GI103" s="196" t="str">
        <f t="shared" si="1552"/>
        <v/>
      </c>
      <c r="GJ103" s="197" t="str">
        <f t="shared" si="1553"/>
        <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t="str">
        <f t="shared" si="1459"/>
        <v/>
      </c>
      <c r="GV103" s="196" t="str">
        <f t="shared" si="1557"/>
        <v/>
      </c>
      <c r="GW103" s="197" t="str">
        <f t="shared" si="1558"/>
        <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t="str">
        <f t="shared" si="1461"/>
        <v/>
      </c>
      <c r="HI103" s="196" t="str">
        <f t="shared" si="1562"/>
        <v/>
      </c>
      <c r="HJ103" s="197" t="str">
        <f t="shared" si="1563"/>
        <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t="str">
        <f t="shared" si="1463"/>
        <v/>
      </c>
      <c r="HV103" s="196" t="str">
        <f t="shared" si="1567"/>
        <v/>
      </c>
      <c r="HW103" s="197" t="str">
        <f t="shared" si="1568"/>
        <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t="str">
        <f t="shared" si="1465"/>
        <v/>
      </c>
      <c r="II103" s="196" t="str">
        <f t="shared" si="1572"/>
        <v/>
      </c>
      <c r="IJ103" s="197" t="str">
        <f t="shared" si="1573"/>
        <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t="str">
        <f t="shared" si="1467"/>
        <v/>
      </c>
      <c r="IV103" s="196" t="str">
        <f t="shared" si="1577"/>
        <v/>
      </c>
      <c r="IW103" s="197" t="str">
        <f t="shared" si="1578"/>
        <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t="str">
        <f t="shared" si="1469"/>
        <v/>
      </c>
      <c r="JI103" s="196" t="str">
        <f t="shared" si="1582"/>
        <v/>
      </c>
      <c r="JJ103" s="197" t="str">
        <f t="shared" si="1583"/>
        <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t="str">
        <f t="shared" si="1471"/>
        <v/>
      </c>
      <c r="JV103" s="196" t="str">
        <f t="shared" si="1587"/>
        <v/>
      </c>
      <c r="JW103" s="197" t="str">
        <f t="shared" si="1588"/>
        <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t="str">
        <f t="shared" si="1473"/>
        <v/>
      </c>
      <c r="KI103" s="196" t="str">
        <f t="shared" si="1592"/>
        <v/>
      </c>
      <c r="KJ103" s="197" t="str">
        <f t="shared" si="1593"/>
        <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t="str">
        <f t="shared" si="1475"/>
        <v/>
      </c>
      <c r="KV103" s="196" t="str">
        <f t="shared" si="1597"/>
        <v/>
      </c>
      <c r="KW103" s="197" t="str">
        <f t="shared" si="1598"/>
        <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t="str">
        <f t="shared" si="1477"/>
        <v/>
      </c>
      <c r="LI103" s="196" t="str">
        <f t="shared" si="1602"/>
        <v/>
      </c>
      <c r="LJ103" s="197" t="str">
        <f t="shared" si="1603"/>
        <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t="str">
        <f t="shared" si="1479"/>
        <v/>
      </c>
      <c r="LV103" s="196" t="str">
        <f t="shared" si="1607"/>
        <v/>
      </c>
      <c r="LW103" s="197" t="str">
        <f t="shared" si="1608"/>
        <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t="str">
        <f t="shared" si="1481"/>
        <v/>
      </c>
    </row>
    <row r="104" spans="1:345" x14ac:dyDescent="0.3">
      <c r="B104" s="196">
        <f>IF(C104="","",INDEX(Groups!$C$7:$C$65,MATCH(C104,Groups!$D$7:$D$65,0)))</f>
        <v>30</v>
      </c>
      <c r="C104" s="197" t="str">
        <f>'World Cup'!$AR$50</f>
        <v>Canada</v>
      </c>
      <c r="D104" s="198" t="str">
        <f>IF(E104="","",INDEX(Groups!$C$7:$C$65,MATCH(E104,Groups!$D$7:$D$65,0)))</f>
        <v/>
      </c>
      <c r="E104" s="197" t="str">
        <f>'World Cup'!$AS$50</f>
        <v/>
      </c>
      <c r="F104" s="199" t="str">
        <f>IF(AND('World Cup'!$AR$51&lt;&gt;"",'World Cup'!$AS$51&lt;&gt;""),'World Cup'!$AR$51,"")</f>
        <v/>
      </c>
      <c r="G104" s="200" t="str">
        <f>IF(AND('World Cup'!$AR$51&lt;&gt;"",'World Cup'!$AS$51&lt;&gt;""),'World Cup'!$AS$51,"")</f>
        <v/>
      </c>
      <c r="I104" s="196">
        <f t="shared" si="1482"/>
        <v>30</v>
      </c>
      <c r="J104" s="197" t="str">
        <f t="shared" si="1483"/>
        <v>Canada</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30</v>
      </c>
      <c r="W104" s="197" t="str">
        <f t="shared" si="1488"/>
        <v>Canada</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30</v>
      </c>
      <c r="AJ104" s="197" t="str">
        <f t="shared" si="1493"/>
        <v>Canada</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30</v>
      </c>
      <c r="AW104" s="197" t="str">
        <f t="shared" si="1498"/>
        <v>Canada</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30</v>
      </c>
      <c r="BJ104" s="197" t="str">
        <f t="shared" si="1503"/>
        <v>Canada</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30</v>
      </c>
      <c r="BW104" s="197" t="str">
        <f t="shared" si="1508"/>
        <v>Canada</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30</v>
      </c>
      <c r="CJ104" s="197" t="str">
        <f t="shared" si="1513"/>
        <v>Canada</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30</v>
      </c>
      <c r="CW104" s="197" t="str">
        <f t="shared" si="1518"/>
        <v>Canada</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30</v>
      </c>
      <c r="DJ104" s="197" t="str">
        <f t="shared" si="1523"/>
        <v>Canada</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30</v>
      </c>
      <c r="DW104" s="197" t="str">
        <f t="shared" si="1528"/>
        <v>Canada</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30</v>
      </c>
      <c r="EJ104" s="197" t="str">
        <f t="shared" si="1533"/>
        <v>Canada</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30</v>
      </c>
      <c r="EW104" s="197" t="str">
        <f t="shared" si="1538"/>
        <v>Canada</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30</v>
      </c>
      <c r="FJ104" s="197" t="str">
        <f t="shared" si="1543"/>
        <v>Canada</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30</v>
      </c>
      <c r="FW104" s="197" t="str">
        <f t="shared" si="1548"/>
        <v>Canada</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30</v>
      </c>
      <c r="GJ104" s="197" t="str">
        <f t="shared" si="1553"/>
        <v>Canada</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30</v>
      </c>
      <c r="GW104" s="197" t="str">
        <f t="shared" si="1558"/>
        <v>Canada</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30</v>
      </c>
      <c r="HJ104" s="197" t="str">
        <f t="shared" si="1563"/>
        <v>Canada</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30</v>
      </c>
      <c r="HW104" s="197" t="str">
        <f t="shared" si="1568"/>
        <v>Canada</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30</v>
      </c>
      <c r="IJ104" s="197" t="str">
        <f t="shared" si="1573"/>
        <v>Canada</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30</v>
      </c>
      <c r="IW104" s="197" t="str">
        <f t="shared" si="1578"/>
        <v>Canada</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30</v>
      </c>
      <c r="JJ104" s="197" t="str">
        <f t="shared" si="1583"/>
        <v>Canada</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30</v>
      </c>
      <c r="JW104" s="197" t="str">
        <f t="shared" si="1588"/>
        <v>Canada</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30</v>
      </c>
      <c r="KJ104" s="197" t="str">
        <f t="shared" si="1593"/>
        <v>Canada</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30</v>
      </c>
      <c r="KW104" s="197" t="str">
        <f t="shared" si="1598"/>
        <v>Canada</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30</v>
      </c>
      <c r="LJ104" s="197" t="str">
        <f t="shared" si="1603"/>
        <v>Canada</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30</v>
      </c>
      <c r="LW104" s="197" t="str">
        <f t="shared" si="1608"/>
        <v>Canada</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50" t="str">
        <f>Language!$E$245</f>
        <v>Number:</v>
      </c>
      <c r="M128" s="851"/>
      <c r="N128" s="852"/>
      <c r="O128" s="198">
        <f>SUM(O124:O126)</f>
        <v>0</v>
      </c>
      <c r="P128" s="198">
        <f>SUM(P6:P122)</f>
        <v>0</v>
      </c>
      <c r="Q128" s="198">
        <f>SUM(Q6:Q126)</f>
        <v>0</v>
      </c>
      <c r="R128" s="198">
        <f>SUM(R6:R126)</f>
        <v>0</v>
      </c>
      <c r="S128" s="198">
        <f>SUM(S6:S126)</f>
        <v>0</v>
      </c>
      <c r="T128" s="219">
        <f>SUM(T107:T122)+SUM(T126:T126)</f>
        <v>0</v>
      </c>
      <c r="Y128" s="850" t="str">
        <f>Language!$E$245</f>
        <v>Number:</v>
      </c>
      <c r="Z128" s="851"/>
      <c r="AA128" s="852"/>
      <c r="AB128" s="198">
        <f>SUM(AB124:AB126)</f>
        <v>0</v>
      </c>
      <c r="AC128" s="198">
        <f>SUM(AC6:AC122)</f>
        <v>0</v>
      </c>
      <c r="AD128" s="198">
        <f>SUM(AD6:AD126)</f>
        <v>0</v>
      </c>
      <c r="AE128" s="198">
        <f>SUM(AE6:AE126)</f>
        <v>0</v>
      </c>
      <c r="AF128" s="198">
        <f>SUM(AF6:AF126)</f>
        <v>0</v>
      </c>
      <c r="AG128" s="219">
        <f>SUM(AG107:AG122)+SUM(AG126:AG126)</f>
        <v>0</v>
      </c>
      <c r="AL128" s="850" t="str">
        <f>Language!$E$245</f>
        <v>Number:</v>
      </c>
      <c r="AM128" s="851"/>
      <c r="AN128" s="852"/>
      <c r="AO128" s="198">
        <f>SUM(AO124:AO126)</f>
        <v>0</v>
      </c>
      <c r="AP128" s="198">
        <f>SUM(AP6:AP122)</f>
        <v>0</v>
      </c>
      <c r="AQ128" s="198">
        <f>SUM(AQ6:AQ126)</f>
        <v>0</v>
      </c>
      <c r="AR128" s="198">
        <f>SUM(AR6:AR126)</f>
        <v>0</v>
      </c>
      <c r="AS128" s="198">
        <f>SUM(AS6:AS126)</f>
        <v>0</v>
      </c>
      <c r="AT128" s="219">
        <f>SUM(AT107:AT122)+SUM(AT126:AT126)</f>
        <v>0</v>
      </c>
      <c r="AY128" s="850" t="str">
        <f>Language!$E$245</f>
        <v>Number:</v>
      </c>
      <c r="AZ128" s="851"/>
      <c r="BA128" s="852"/>
      <c r="BB128" s="198">
        <f>SUM(BB124:BB126)</f>
        <v>0</v>
      </c>
      <c r="BC128" s="198">
        <f>SUM(BC6:BC122)</f>
        <v>0</v>
      </c>
      <c r="BD128" s="198">
        <f>SUM(BD6:BD126)</f>
        <v>0</v>
      </c>
      <c r="BE128" s="198">
        <f>SUM(BE6:BE126)</f>
        <v>0</v>
      </c>
      <c r="BF128" s="198">
        <f>SUM(BF6:BF126)</f>
        <v>0</v>
      </c>
      <c r="BG128" s="219">
        <f>SUM(BG107:BG122)+SUM(BG126:BG126)</f>
        <v>0</v>
      </c>
      <c r="BL128" s="850" t="str">
        <f>Language!$E$245</f>
        <v>Number:</v>
      </c>
      <c r="BM128" s="851"/>
      <c r="BN128" s="852"/>
      <c r="BO128" s="198">
        <f>SUM(BO124:BO126)</f>
        <v>0</v>
      </c>
      <c r="BP128" s="198">
        <f>SUM(BP6:BP122)</f>
        <v>0</v>
      </c>
      <c r="BQ128" s="198">
        <f>SUM(BQ6:BQ126)</f>
        <v>0</v>
      </c>
      <c r="BR128" s="198">
        <f>SUM(BR6:BR126)</f>
        <v>0</v>
      </c>
      <c r="BS128" s="198">
        <f>SUM(BS6:BS126)</f>
        <v>0</v>
      </c>
      <c r="BT128" s="219">
        <f>SUM(BT107:BT122)+SUM(BT126:BT126)</f>
        <v>0</v>
      </c>
      <c r="BY128" s="850" t="str">
        <f>Language!$E$245</f>
        <v>Number:</v>
      </c>
      <c r="BZ128" s="851"/>
      <c r="CA128" s="852"/>
      <c r="CB128" s="198">
        <f>SUM(CB124:CB126)</f>
        <v>0</v>
      </c>
      <c r="CC128" s="198">
        <f>SUM(CC6:CC122)</f>
        <v>0</v>
      </c>
      <c r="CD128" s="198">
        <f>SUM(CD6:CD126)</f>
        <v>0</v>
      </c>
      <c r="CE128" s="198">
        <f>SUM(CE6:CE126)</f>
        <v>0</v>
      </c>
      <c r="CF128" s="198">
        <f>SUM(CF6:CF126)</f>
        <v>0</v>
      </c>
      <c r="CG128" s="219">
        <f>SUM(CG107:CG122)+SUM(CG126:CG126)</f>
        <v>0</v>
      </c>
      <c r="CL128" s="850" t="str">
        <f>Language!$E$245</f>
        <v>Number:</v>
      </c>
      <c r="CM128" s="851"/>
      <c r="CN128" s="852"/>
      <c r="CO128" s="198">
        <f>SUM(CO124:CO126)</f>
        <v>0</v>
      </c>
      <c r="CP128" s="198">
        <f>SUM(CP6:CP122)</f>
        <v>0</v>
      </c>
      <c r="CQ128" s="198">
        <f>SUM(CQ6:CQ126)</f>
        <v>0</v>
      </c>
      <c r="CR128" s="198">
        <f>SUM(CR6:CR126)</f>
        <v>0</v>
      </c>
      <c r="CS128" s="198">
        <f>SUM(CS6:CS126)</f>
        <v>0</v>
      </c>
      <c r="CT128" s="219">
        <f>SUM(CT107:CT122)+SUM(CT126:CT126)</f>
        <v>0</v>
      </c>
      <c r="CY128" s="850" t="str">
        <f>Language!$E$245</f>
        <v>Number:</v>
      </c>
      <c r="CZ128" s="851"/>
      <c r="DA128" s="852"/>
      <c r="DB128" s="198">
        <f>SUM(DB124:DB126)</f>
        <v>0</v>
      </c>
      <c r="DC128" s="198">
        <f>SUM(DC6:DC122)</f>
        <v>0</v>
      </c>
      <c r="DD128" s="198">
        <f>SUM(DD6:DD126)</f>
        <v>0</v>
      </c>
      <c r="DE128" s="198">
        <f>SUM(DE6:DE126)</f>
        <v>0</v>
      </c>
      <c r="DF128" s="198">
        <f>SUM(DF6:DF126)</f>
        <v>0</v>
      </c>
      <c r="DG128" s="219">
        <f>SUM(DG107:DG122)+SUM(DG126:DG126)</f>
        <v>0</v>
      </c>
      <c r="DL128" s="850" t="str">
        <f>Language!$E$245</f>
        <v>Number:</v>
      </c>
      <c r="DM128" s="851"/>
      <c r="DN128" s="852"/>
      <c r="DO128" s="198">
        <f>SUM(DO124:DO126)</f>
        <v>0</v>
      </c>
      <c r="DP128" s="198">
        <f>SUM(DP6:DP122)</f>
        <v>0</v>
      </c>
      <c r="DQ128" s="198">
        <f>SUM(DQ6:DQ126)</f>
        <v>0</v>
      </c>
      <c r="DR128" s="198">
        <f>SUM(DR6:DR126)</f>
        <v>0</v>
      </c>
      <c r="DS128" s="198">
        <f>SUM(DS6:DS126)</f>
        <v>0</v>
      </c>
      <c r="DT128" s="219">
        <f>SUM(DT107:DT122)+SUM(DT126:DT126)</f>
        <v>0</v>
      </c>
      <c r="DY128" s="850" t="str">
        <f>Language!$E$245</f>
        <v>Number:</v>
      </c>
      <c r="DZ128" s="851"/>
      <c r="EA128" s="852"/>
      <c r="EB128" s="198">
        <f>SUM(EB124:EB126)</f>
        <v>0</v>
      </c>
      <c r="EC128" s="198">
        <f>SUM(EC6:EC122)</f>
        <v>0</v>
      </c>
      <c r="ED128" s="198">
        <f>SUM(ED6:ED126)</f>
        <v>0</v>
      </c>
      <c r="EE128" s="198">
        <f>SUM(EE6:EE126)</f>
        <v>0</v>
      </c>
      <c r="EF128" s="198">
        <f>SUM(EF6:EF126)</f>
        <v>0</v>
      </c>
      <c r="EG128" s="219">
        <f>SUM(EG107:EG122)+SUM(EG126:EG126)</f>
        <v>0</v>
      </c>
      <c r="EL128" s="850" t="str">
        <f>Language!$E$245</f>
        <v>Number:</v>
      </c>
      <c r="EM128" s="851"/>
      <c r="EN128" s="852"/>
      <c r="EO128" s="198">
        <f>SUM(EO124:EO126)</f>
        <v>0</v>
      </c>
      <c r="EP128" s="198">
        <f>SUM(EP6:EP122)</f>
        <v>0</v>
      </c>
      <c r="EQ128" s="198">
        <f>SUM(EQ6:EQ126)</f>
        <v>0</v>
      </c>
      <c r="ER128" s="198">
        <f>SUM(ER6:ER126)</f>
        <v>0</v>
      </c>
      <c r="ES128" s="198">
        <f>SUM(ES6:ES126)</f>
        <v>0</v>
      </c>
      <c r="ET128" s="219">
        <f>SUM(ET107:ET122)+SUM(ET126:ET126)</f>
        <v>0</v>
      </c>
      <c r="EY128" s="850" t="str">
        <f>Language!$E$245</f>
        <v>Number:</v>
      </c>
      <c r="EZ128" s="851"/>
      <c r="FA128" s="852"/>
      <c r="FB128" s="198">
        <f>SUM(FB124:FB126)</f>
        <v>0</v>
      </c>
      <c r="FC128" s="198">
        <f>SUM(FC6:FC122)</f>
        <v>0</v>
      </c>
      <c r="FD128" s="198">
        <f>SUM(FD6:FD126)</f>
        <v>0</v>
      </c>
      <c r="FE128" s="198">
        <f>SUM(FE6:FE126)</f>
        <v>0</v>
      </c>
      <c r="FF128" s="198">
        <f>SUM(FF6:FF126)</f>
        <v>0</v>
      </c>
      <c r="FG128" s="219">
        <f>SUM(FG107:FG122)+SUM(FG126:FG126)</f>
        <v>0</v>
      </c>
      <c r="FL128" s="850" t="str">
        <f>Language!$E$245</f>
        <v>Number:</v>
      </c>
      <c r="FM128" s="851"/>
      <c r="FN128" s="852"/>
      <c r="FO128" s="198">
        <f>SUM(FO124:FO126)</f>
        <v>0</v>
      </c>
      <c r="FP128" s="198">
        <f>SUM(FP6:FP122)</f>
        <v>0</v>
      </c>
      <c r="FQ128" s="198">
        <f>SUM(FQ6:FQ126)</f>
        <v>0</v>
      </c>
      <c r="FR128" s="198">
        <f>SUM(FR6:FR126)</f>
        <v>0</v>
      </c>
      <c r="FS128" s="198">
        <f>SUM(FS6:FS126)</f>
        <v>0</v>
      </c>
      <c r="FT128" s="219">
        <f>SUM(FT107:FT122)+SUM(FT126:FT126)</f>
        <v>0</v>
      </c>
      <c r="FY128" s="850" t="str">
        <f>Language!$E$245</f>
        <v>Number:</v>
      </c>
      <c r="FZ128" s="851"/>
      <c r="GA128" s="852"/>
      <c r="GB128" s="198">
        <f>SUM(GB124:GB126)</f>
        <v>0</v>
      </c>
      <c r="GC128" s="198">
        <f>SUM(GC6:GC122)</f>
        <v>0</v>
      </c>
      <c r="GD128" s="198">
        <f>SUM(GD6:GD126)</f>
        <v>0</v>
      </c>
      <c r="GE128" s="198">
        <f>SUM(GE6:GE126)</f>
        <v>0</v>
      </c>
      <c r="GF128" s="198">
        <f>SUM(GF6:GF126)</f>
        <v>0</v>
      </c>
      <c r="GG128" s="219">
        <f>SUM(GG107:GG122)+SUM(GG126:GG126)</f>
        <v>0</v>
      </c>
      <c r="GL128" s="850" t="str">
        <f>Language!$E$245</f>
        <v>Number:</v>
      </c>
      <c r="GM128" s="851"/>
      <c r="GN128" s="852"/>
      <c r="GO128" s="198">
        <f>SUM(GO124:GO126)</f>
        <v>0</v>
      </c>
      <c r="GP128" s="198">
        <f>SUM(GP6:GP122)</f>
        <v>0</v>
      </c>
      <c r="GQ128" s="198">
        <f>SUM(GQ6:GQ126)</f>
        <v>0</v>
      </c>
      <c r="GR128" s="198">
        <f>SUM(GR6:GR126)</f>
        <v>0</v>
      </c>
      <c r="GS128" s="198">
        <f>SUM(GS6:GS126)</f>
        <v>0</v>
      </c>
      <c r="GT128" s="219">
        <f>SUM(GT107:GT122)+SUM(GT126:GT126)</f>
        <v>0</v>
      </c>
      <c r="GY128" s="850" t="str">
        <f>Language!$E$245</f>
        <v>Number:</v>
      </c>
      <c r="GZ128" s="851"/>
      <c r="HA128" s="852"/>
      <c r="HB128" s="198">
        <f>SUM(HB124:HB126)</f>
        <v>0</v>
      </c>
      <c r="HC128" s="198">
        <f>SUM(HC6:HC122)</f>
        <v>0</v>
      </c>
      <c r="HD128" s="198">
        <f>SUM(HD6:HD126)</f>
        <v>0</v>
      </c>
      <c r="HE128" s="198">
        <f>SUM(HE6:HE126)</f>
        <v>0</v>
      </c>
      <c r="HF128" s="198">
        <f>SUM(HF6:HF126)</f>
        <v>0</v>
      </c>
      <c r="HG128" s="219">
        <f>SUM(HG107:HG122)+SUM(HG126:HG126)</f>
        <v>0</v>
      </c>
      <c r="HL128" s="850" t="str">
        <f>Language!$E$245</f>
        <v>Number:</v>
      </c>
      <c r="HM128" s="851"/>
      <c r="HN128" s="852"/>
      <c r="HO128" s="198">
        <f>SUM(HO124:HO126)</f>
        <v>0</v>
      </c>
      <c r="HP128" s="198">
        <f>SUM(HP6:HP122)</f>
        <v>0</v>
      </c>
      <c r="HQ128" s="198">
        <f>SUM(HQ6:HQ126)</f>
        <v>0</v>
      </c>
      <c r="HR128" s="198">
        <f>SUM(HR6:HR126)</f>
        <v>0</v>
      </c>
      <c r="HS128" s="198">
        <f>SUM(HS6:HS126)</f>
        <v>0</v>
      </c>
      <c r="HT128" s="219">
        <f>SUM(HT107:HT122)+SUM(HT126:HT126)</f>
        <v>0</v>
      </c>
      <c r="HY128" s="850" t="str">
        <f>Language!$E$245</f>
        <v>Number:</v>
      </c>
      <c r="HZ128" s="851"/>
      <c r="IA128" s="852"/>
      <c r="IB128" s="198">
        <f>SUM(IB124:IB126)</f>
        <v>0</v>
      </c>
      <c r="IC128" s="198">
        <f>SUM(IC6:IC122)</f>
        <v>0</v>
      </c>
      <c r="ID128" s="198">
        <f>SUM(ID6:ID126)</f>
        <v>0</v>
      </c>
      <c r="IE128" s="198">
        <f>SUM(IE6:IE126)</f>
        <v>0</v>
      </c>
      <c r="IF128" s="198">
        <f>SUM(IF6:IF126)</f>
        <v>0</v>
      </c>
      <c r="IG128" s="219">
        <f>SUM(IG107:IG122)+SUM(IG126:IG126)</f>
        <v>0</v>
      </c>
      <c r="IL128" s="850" t="str">
        <f>Language!$E$245</f>
        <v>Number:</v>
      </c>
      <c r="IM128" s="851"/>
      <c r="IN128" s="852"/>
      <c r="IO128" s="198">
        <f>SUM(IO124:IO126)</f>
        <v>0</v>
      </c>
      <c r="IP128" s="198">
        <f>SUM(IP6:IP122)</f>
        <v>0</v>
      </c>
      <c r="IQ128" s="198">
        <f>SUM(IQ6:IQ126)</f>
        <v>0</v>
      </c>
      <c r="IR128" s="198">
        <f>SUM(IR6:IR126)</f>
        <v>0</v>
      </c>
      <c r="IS128" s="198">
        <f>SUM(IS6:IS126)</f>
        <v>0</v>
      </c>
      <c r="IT128" s="219">
        <f>SUM(IT107:IT122)+SUM(IT126:IT126)</f>
        <v>0</v>
      </c>
      <c r="IY128" s="850" t="str">
        <f>Language!$E$245</f>
        <v>Number:</v>
      </c>
      <c r="IZ128" s="851"/>
      <c r="JA128" s="852"/>
      <c r="JB128" s="198">
        <f>SUM(JB124:JB126)</f>
        <v>0</v>
      </c>
      <c r="JC128" s="198">
        <f>SUM(JC6:JC122)</f>
        <v>0</v>
      </c>
      <c r="JD128" s="198">
        <f>SUM(JD6:JD126)</f>
        <v>0</v>
      </c>
      <c r="JE128" s="198">
        <f>SUM(JE6:JE126)</f>
        <v>0</v>
      </c>
      <c r="JF128" s="198">
        <f>SUM(JF6:JF126)</f>
        <v>0</v>
      </c>
      <c r="JG128" s="219">
        <f>SUM(JG107:JG122)+SUM(JG126:JG126)</f>
        <v>0</v>
      </c>
      <c r="JL128" s="850" t="str">
        <f>Language!$E$245</f>
        <v>Number:</v>
      </c>
      <c r="JM128" s="851"/>
      <c r="JN128" s="852"/>
      <c r="JO128" s="198">
        <f>SUM(JO124:JO126)</f>
        <v>0</v>
      </c>
      <c r="JP128" s="198">
        <f>SUM(JP6:JP122)</f>
        <v>0</v>
      </c>
      <c r="JQ128" s="198">
        <f>SUM(JQ6:JQ126)</f>
        <v>0</v>
      </c>
      <c r="JR128" s="198">
        <f>SUM(JR6:JR126)</f>
        <v>0</v>
      </c>
      <c r="JS128" s="198">
        <f>SUM(JS6:JS126)</f>
        <v>0</v>
      </c>
      <c r="JT128" s="219">
        <f>SUM(JT107:JT122)+SUM(JT126:JT126)</f>
        <v>0</v>
      </c>
      <c r="JY128" s="850" t="str">
        <f>Language!$E$245</f>
        <v>Number:</v>
      </c>
      <c r="JZ128" s="851"/>
      <c r="KA128" s="852"/>
      <c r="KB128" s="198">
        <f>SUM(KB124:KB126)</f>
        <v>0</v>
      </c>
      <c r="KC128" s="198">
        <f>SUM(KC6:KC122)</f>
        <v>0</v>
      </c>
      <c r="KD128" s="198">
        <f>SUM(KD6:KD126)</f>
        <v>0</v>
      </c>
      <c r="KE128" s="198">
        <f>SUM(KE6:KE126)</f>
        <v>0</v>
      </c>
      <c r="KF128" s="198">
        <f>SUM(KF6:KF126)</f>
        <v>0</v>
      </c>
      <c r="KG128" s="219">
        <f>SUM(KG107:KG122)+SUM(KG126:KG126)</f>
        <v>0</v>
      </c>
      <c r="KL128" s="850" t="str">
        <f>Language!$E$245</f>
        <v>Number:</v>
      </c>
      <c r="KM128" s="851"/>
      <c r="KN128" s="852"/>
      <c r="KO128" s="198">
        <f>SUM(KO124:KO126)</f>
        <v>0</v>
      </c>
      <c r="KP128" s="198">
        <f>SUM(KP6:KP122)</f>
        <v>0</v>
      </c>
      <c r="KQ128" s="198">
        <f>SUM(KQ6:KQ126)</f>
        <v>0</v>
      </c>
      <c r="KR128" s="198">
        <f>SUM(KR6:KR126)</f>
        <v>0</v>
      </c>
      <c r="KS128" s="198">
        <f>SUM(KS6:KS126)</f>
        <v>0</v>
      </c>
      <c r="KT128" s="219">
        <f>SUM(KT107:KT122)+SUM(KT126:KT126)</f>
        <v>0</v>
      </c>
      <c r="KY128" s="850" t="str">
        <f>Language!$E$245</f>
        <v>Number:</v>
      </c>
      <c r="KZ128" s="851"/>
      <c r="LA128" s="852"/>
      <c r="LB128" s="198">
        <f>SUM(LB124:LB126)</f>
        <v>0</v>
      </c>
      <c r="LC128" s="198">
        <f>SUM(LC6:LC122)</f>
        <v>0</v>
      </c>
      <c r="LD128" s="198">
        <f>SUM(LD6:LD126)</f>
        <v>0</v>
      </c>
      <c r="LE128" s="198">
        <f>SUM(LE6:LE126)</f>
        <v>0</v>
      </c>
      <c r="LF128" s="198">
        <f>SUM(LF6:LF126)</f>
        <v>0</v>
      </c>
      <c r="LG128" s="219">
        <f>SUM(LG107:LG122)+SUM(LG126:LG126)</f>
        <v>0</v>
      </c>
      <c r="LL128" s="850" t="str">
        <f>Language!$E$245</f>
        <v>Number:</v>
      </c>
      <c r="LM128" s="851"/>
      <c r="LN128" s="852"/>
      <c r="LO128" s="198">
        <f>SUM(LO124:LO126)</f>
        <v>0</v>
      </c>
      <c r="LP128" s="198">
        <f>SUM(LP6:LP122)</f>
        <v>0</v>
      </c>
      <c r="LQ128" s="198">
        <f>SUM(LQ6:LQ126)</f>
        <v>0</v>
      </c>
      <c r="LR128" s="198">
        <f>SUM(LR6:LR126)</f>
        <v>0</v>
      </c>
      <c r="LS128" s="198">
        <f>SUM(LS6:LS126)</f>
        <v>0</v>
      </c>
      <c r="LT128" s="219">
        <f>SUM(LT107:LT122)+SUM(LT126:LT126)</f>
        <v>0</v>
      </c>
      <c r="LY128" s="850" t="str">
        <f>Language!$E$245</f>
        <v>Number:</v>
      </c>
      <c r="LZ128" s="851"/>
      <c r="MA128" s="85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9" t="str">
        <f>Language!$E$207</f>
        <v>Points:</v>
      </c>
      <c r="M129" s="890"/>
      <c r="N129" s="891"/>
      <c r="O129" s="516">
        <f>O128*PrSettings!$F$9</f>
        <v>0</v>
      </c>
      <c r="P129" s="516">
        <f>P128*PrSettings!$F$4</f>
        <v>0</v>
      </c>
      <c r="Q129" s="516">
        <f>Q128*PrSettings!$F$5</f>
        <v>0</v>
      </c>
      <c r="R129" s="516">
        <f>R128*PrSettings!$F$6</f>
        <v>0</v>
      </c>
      <c r="S129" s="516">
        <f>S128*PrSettings!$F$7</f>
        <v>0</v>
      </c>
      <c r="T129" s="517">
        <f>T128*PrSettings!$F$8</f>
        <v>0</v>
      </c>
      <c r="Y129" s="853" t="str">
        <f>Language!$E$207</f>
        <v>Points:</v>
      </c>
      <c r="Z129" s="854"/>
      <c r="AA129" s="855"/>
      <c r="AB129" s="225">
        <f>AB128*PrSettings!$F$9</f>
        <v>0</v>
      </c>
      <c r="AC129" s="225">
        <f>AC128*PrSettings!$F$4</f>
        <v>0</v>
      </c>
      <c r="AD129" s="225">
        <f>AD128*PrSettings!$F$5</f>
        <v>0</v>
      </c>
      <c r="AE129" s="225">
        <f>AE128*PrSettings!$F$6</f>
        <v>0</v>
      </c>
      <c r="AF129" s="225">
        <f>AF128*PrSettings!$F$7</f>
        <v>0</v>
      </c>
      <c r="AG129" s="226">
        <f>AG128*PrSettings!$F$8</f>
        <v>0</v>
      </c>
      <c r="AL129" s="853" t="str">
        <f>Language!$E$207</f>
        <v>Points:</v>
      </c>
      <c r="AM129" s="854"/>
      <c r="AN129" s="855"/>
      <c r="AO129" s="225">
        <f>AO128*PrSettings!$F$9</f>
        <v>0</v>
      </c>
      <c r="AP129" s="225">
        <f>AP128*PrSettings!$F$4</f>
        <v>0</v>
      </c>
      <c r="AQ129" s="225">
        <f>AQ128*PrSettings!$F$5</f>
        <v>0</v>
      </c>
      <c r="AR129" s="225">
        <f>AR128*PrSettings!$F$6</f>
        <v>0</v>
      </c>
      <c r="AS129" s="225">
        <f>AS128*PrSettings!$F$7</f>
        <v>0</v>
      </c>
      <c r="AT129" s="226">
        <f>AT128*PrSettings!$F$8</f>
        <v>0</v>
      </c>
      <c r="AY129" s="853" t="str">
        <f>Language!$E$207</f>
        <v>Points:</v>
      </c>
      <c r="AZ129" s="854"/>
      <c r="BA129" s="855"/>
      <c r="BB129" s="225">
        <f>BB128*PrSettings!$F$9</f>
        <v>0</v>
      </c>
      <c r="BC129" s="225">
        <f>BC128*PrSettings!$F$4</f>
        <v>0</v>
      </c>
      <c r="BD129" s="225">
        <f>BD128*PrSettings!$F$5</f>
        <v>0</v>
      </c>
      <c r="BE129" s="225">
        <f>BE128*PrSettings!$F$6</f>
        <v>0</v>
      </c>
      <c r="BF129" s="225">
        <f>BF128*PrSettings!$F$7</f>
        <v>0</v>
      </c>
      <c r="BG129" s="226">
        <f>BG128*PrSettings!$F$8</f>
        <v>0</v>
      </c>
      <c r="BL129" s="853" t="str">
        <f>Language!$E$207</f>
        <v>Points:</v>
      </c>
      <c r="BM129" s="854"/>
      <c r="BN129" s="855"/>
      <c r="BO129" s="225">
        <f>BO128*PrSettings!$F$9</f>
        <v>0</v>
      </c>
      <c r="BP129" s="225">
        <f>BP128*PrSettings!$F$4</f>
        <v>0</v>
      </c>
      <c r="BQ129" s="225">
        <f>BQ128*PrSettings!$F$5</f>
        <v>0</v>
      </c>
      <c r="BR129" s="225">
        <f>BR128*PrSettings!$F$6</f>
        <v>0</v>
      </c>
      <c r="BS129" s="225">
        <f>BS128*PrSettings!$F$7</f>
        <v>0</v>
      </c>
      <c r="BT129" s="226">
        <f>BT128*PrSettings!$F$8</f>
        <v>0</v>
      </c>
      <c r="BY129" s="853" t="str">
        <f>Language!$E$207</f>
        <v>Points:</v>
      </c>
      <c r="BZ129" s="854"/>
      <c r="CA129" s="855"/>
      <c r="CB129" s="225">
        <f>CB128*PrSettings!$F$9</f>
        <v>0</v>
      </c>
      <c r="CC129" s="225">
        <f>CC128*PrSettings!$F$4</f>
        <v>0</v>
      </c>
      <c r="CD129" s="225">
        <f>CD128*PrSettings!$F$5</f>
        <v>0</v>
      </c>
      <c r="CE129" s="225">
        <f>CE128*PrSettings!$F$6</f>
        <v>0</v>
      </c>
      <c r="CF129" s="225">
        <f>CF128*PrSettings!$F$7</f>
        <v>0</v>
      </c>
      <c r="CG129" s="226">
        <f>CG128*PrSettings!$F$8</f>
        <v>0</v>
      </c>
      <c r="CL129" s="853" t="str">
        <f>Language!$E$207</f>
        <v>Points:</v>
      </c>
      <c r="CM129" s="854"/>
      <c r="CN129" s="855"/>
      <c r="CO129" s="225">
        <f>CO128*PrSettings!$F$9</f>
        <v>0</v>
      </c>
      <c r="CP129" s="225">
        <f>CP128*PrSettings!$F$4</f>
        <v>0</v>
      </c>
      <c r="CQ129" s="225">
        <f>CQ128*PrSettings!$F$5</f>
        <v>0</v>
      </c>
      <c r="CR129" s="225">
        <f>CR128*PrSettings!$F$6</f>
        <v>0</v>
      </c>
      <c r="CS129" s="225">
        <f>CS128*PrSettings!$F$7</f>
        <v>0</v>
      </c>
      <c r="CT129" s="226">
        <f>CT128*PrSettings!$F$8</f>
        <v>0</v>
      </c>
      <c r="CY129" s="853" t="str">
        <f>Language!$E$207</f>
        <v>Points:</v>
      </c>
      <c r="CZ129" s="854"/>
      <c r="DA129" s="855"/>
      <c r="DB129" s="225">
        <f>DB128*PrSettings!$F$9</f>
        <v>0</v>
      </c>
      <c r="DC129" s="225">
        <f>DC128*PrSettings!$F$4</f>
        <v>0</v>
      </c>
      <c r="DD129" s="225">
        <f>DD128*PrSettings!$F$5</f>
        <v>0</v>
      </c>
      <c r="DE129" s="225">
        <f>DE128*PrSettings!$F$6</f>
        <v>0</v>
      </c>
      <c r="DF129" s="225">
        <f>DF128*PrSettings!$F$7</f>
        <v>0</v>
      </c>
      <c r="DG129" s="226">
        <f>DG128*PrSettings!$F$8</f>
        <v>0</v>
      </c>
      <c r="DL129" s="853" t="str">
        <f>Language!$E$207</f>
        <v>Points:</v>
      </c>
      <c r="DM129" s="854"/>
      <c r="DN129" s="855"/>
      <c r="DO129" s="225">
        <f>DO128*PrSettings!$F$9</f>
        <v>0</v>
      </c>
      <c r="DP129" s="225">
        <f>DP128*PrSettings!$F$4</f>
        <v>0</v>
      </c>
      <c r="DQ129" s="225">
        <f>DQ128*PrSettings!$F$5</f>
        <v>0</v>
      </c>
      <c r="DR129" s="225">
        <f>DR128*PrSettings!$F$6</f>
        <v>0</v>
      </c>
      <c r="DS129" s="225">
        <f>DS128*PrSettings!$F$7</f>
        <v>0</v>
      </c>
      <c r="DT129" s="226">
        <f>DT128*PrSettings!$F$8</f>
        <v>0</v>
      </c>
      <c r="DY129" s="853" t="str">
        <f>Language!$E$207</f>
        <v>Points:</v>
      </c>
      <c r="DZ129" s="854"/>
      <c r="EA129" s="855"/>
      <c r="EB129" s="225">
        <f>EB128*PrSettings!$F$9</f>
        <v>0</v>
      </c>
      <c r="EC129" s="225">
        <f>EC128*PrSettings!$F$4</f>
        <v>0</v>
      </c>
      <c r="ED129" s="225">
        <f>ED128*PrSettings!$F$5</f>
        <v>0</v>
      </c>
      <c r="EE129" s="225">
        <f>EE128*PrSettings!$F$6</f>
        <v>0</v>
      </c>
      <c r="EF129" s="225">
        <f>EF128*PrSettings!$F$7</f>
        <v>0</v>
      </c>
      <c r="EG129" s="226">
        <f>EG128*PrSettings!$F$8</f>
        <v>0</v>
      </c>
      <c r="EL129" s="853" t="str">
        <f>Language!$E$207</f>
        <v>Points:</v>
      </c>
      <c r="EM129" s="854"/>
      <c r="EN129" s="855"/>
      <c r="EO129" s="225">
        <f>EO128*PrSettings!$F$9</f>
        <v>0</v>
      </c>
      <c r="EP129" s="225">
        <f>EP128*PrSettings!$F$4</f>
        <v>0</v>
      </c>
      <c r="EQ129" s="225">
        <f>EQ128*PrSettings!$F$5</f>
        <v>0</v>
      </c>
      <c r="ER129" s="225">
        <f>ER128*PrSettings!$F$6</f>
        <v>0</v>
      </c>
      <c r="ES129" s="225">
        <f>ES128*PrSettings!$F$7</f>
        <v>0</v>
      </c>
      <c r="ET129" s="226">
        <f>ET128*PrSettings!$F$8</f>
        <v>0</v>
      </c>
      <c r="EY129" s="853" t="str">
        <f>Language!$E$207</f>
        <v>Points:</v>
      </c>
      <c r="EZ129" s="854"/>
      <c r="FA129" s="855"/>
      <c r="FB129" s="225">
        <f>FB128*PrSettings!$F$9</f>
        <v>0</v>
      </c>
      <c r="FC129" s="225">
        <f>FC128*PrSettings!$F$4</f>
        <v>0</v>
      </c>
      <c r="FD129" s="225">
        <f>FD128*PrSettings!$F$5</f>
        <v>0</v>
      </c>
      <c r="FE129" s="225">
        <f>FE128*PrSettings!$F$6</f>
        <v>0</v>
      </c>
      <c r="FF129" s="225">
        <f>FF128*PrSettings!$F$7</f>
        <v>0</v>
      </c>
      <c r="FG129" s="226">
        <f>FG128*PrSettings!$F$8</f>
        <v>0</v>
      </c>
      <c r="FL129" s="853" t="str">
        <f>Language!$E$207</f>
        <v>Points:</v>
      </c>
      <c r="FM129" s="854"/>
      <c r="FN129" s="855"/>
      <c r="FO129" s="225">
        <f>FO128*PrSettings!$F$9</f>
        <v>0</v>
      </c>
      <c r="FP129" s="225">
        <f>FP128*PrSettings!$F$4</f>
        <v>0</v>
      </c>
      <c r="FQ129" s="225">
        <f>FQ128*PrSettings!$F$5</f>
        <v>0</v>
      </c>
      <c r="FR129" s="225">
        <f>FR128*PrSettings!$F$6</f>
        <v>0</v>
      </c>
      <c r="FS129" s="225">
        <f>FS128*PrSettings!$F$7</f>
        <v>0</v>
      </c>
      <c r="FT129" s="226">
        <f>FT128*PrSettings!$F$8</f>
        <v>0</v>
      </c>
      <c r="FY129" s="853" t="str">
        <f>Language!$E$207</f>
        <v>Points:</v>
      </c>
      <c r="FZ129" s="854"/>
      <c r="GA129" s="855"/>
      <c r="GB129" s="225">
        <f>GB128*PrSettings!$F$9</f>
        <v>0</v>
      </c>
      <c r="GC129" s="225">
        <f>GC128*PrSettings!$F$4</f>
        <v>0</v>
      </c>
      <c r="GD129" s="225">
        <f>GD128*PrSettings!$F$5</f>
        <v>0</v>
      </c>
      <c r="GE129" s="225">
        <f>GE128*PrSettings!$F$6</f>
        <v>0</v>
      </c>
      <c r="GF129" s="225">
        <f>GF128*PrSettings!$F$7</f>
        <v>0</v>
      </c>
      <c r="GG129" s="226">
        <f>GG128*PrSettings!$F$8</f>
        <v>0</v>
      </c>
      <c r="GL129" s="853" t="str">
        <f>Language!$E$207</f>
        <v>Points:</v>
      </c>
      <c r="GM129" s="854"/>
      <c r="GN129" s="855"/>
      <c r="GO129" s="225">
        <f>GO128*PrSettings!$F$9</f>
        <v>0</v>
      </c>
      <c r="GP129" s="225">
        <f>GP128*PrSettings!$F$4</f>
        <v>0</v>
      </c>
      <c r="GQ129" s="225">
        <f>GQ128*PrSettings!$F$5</f>
        <v>0</v>
      </c>
      <c r="GR129" s="225">
        <f>GR128*PrSettings!$F$6</f>
        <v>0</v>
      </c>
      <c r="GS129" s="225">
        <f>GS128*PrSettings!$F$7</f>
        <v>0</v>
      </c>
      <c r="GT129" s="226">
        <f>GT128*PrSettings!$F$8</f>
        <v>0</v>
      </c>
      <c r="GY129" s="853" t="str">
        <f>Language!$E$207</f>
        <v>Points:</v>
      </c>
      <c r="GZ129" s="854"/>
      <c r="HA129" s="855"/>
      <c r="HB129" s="225">
        <f>HB128*PrSettings!$F$9</f>
        <v>0</v>
      </c>
      <c r="HC129" s="225">
        <f>HC128*PrSettings!$F$4</f>
        <v>0</v>
      </c>
      <c r="HD129" s="225">
        <f>HD128*PrSettings!$F$5</f>
        <v>0</v>
      </c>
      <c r="HE129" s="225">
        <f>HE128*PrSettings!$F$6</f>
        <v>0</v>
      </c>
      <c r="HF129" s="225">
        <f>HF128*PrSettings!$F$7</f>
        <v>0</v>
      </c>
      <c r="HG129" s="226">
        <f>HG128*PrSettings!$F$8</f>
        <v>0</v>
      </c>
      <c r="HL129" s="853" t="str">
        <f>Language!$E$207</f>
        <v>Points:</v>
      </c>
      <c r="HM129" s="854"/>
      <c r="HN129" s="855"/>
      <c r="HO129" s="225">
        <f>HO128*PrSettings!$F$9</f>
        <v>0</v>
      </c>
      <c r="HP129" s="225">
        <f>HP128*PrSettings!$F$4</f>
        <v>0</v>
      </c>
      <c r="HQ129" s="225">
        <f>HQ128*PrSettings!$F$5</f>
        <v>0</v>
      </c>
      <c r="HR129" s="225">
        <f>HR128*PrSettings!$F$6</f>
        <v>0</v>
      </c>
      <c r="HS129" s="225">
        <f>HS128*PrSettings!$F$7</f>
        <v>0</v>
      </c>
      <c r="HT129" s="226">
        <f>HT128*PrSettings!$F$8</f>
        <v>0</v>
      </c>
      <c r="HY129" s="853" t="str">
        <f>Language!$E$207</f>
        <v>Points:</v>
      </c>
      <c r="HZ129" s="854"/>
      <c r="IA129" s="855"/>
      <c r="IB129" s="225">
        <f>IB128*PrSettings!$F$9</f>
        <v>0</v>
      </c>
      <c r="IC129" s="225">
        <f>IC128*PrSettings!$F$4</f>
        <v>0</v>
      </c>
      <c r="ID129" s="225">
        <f>ID128*PrSettings!$F$5</f>
        <v>0</v>
      </c>
      <c r="IE129" s="225">
        <f>IE128*PrSettings!$F$6</f>
        <v>0</v>
      </c>
      <c r="IF129" s="225">
        <f>IF128*PrSettings!$F$7</f>
        <v>0</v>
      </c>
      <c r="IG129" s="226">
        <f>IG128*PrSettings!$F$8</f>
        <v>0</v>
      </c>
      <c r="IL129" s="853" t="str">
        <f>Language!$E$207</f>
        <v>Points:</v>
      </c>
      <c r="IM129" s="854"/>
      <c r="IN129" s="855"/>
      <c r="IO129" s="225">
        <f>IO128*PrSettings!$F$9</f>
        <v>0</v>
      </c>
      <c r="IP129" s="225">
        <f>IP128*PrSettings!$F$4</f>
        <v>0</v>
      </c>
      <c r="IQ129" s="225">
        <f>IQ128*PrSettings!$F$5</f>
        <v>0</v>
      </c>
      <c r="IR129" s="225">
        <f>IR128*PrSettings!$F$6</f>
        <v>0</v>
      </c>
      <c r="IS129" s="225">
        <f>IS128*PrSettings!$F$7</f>
        <v>0</v>
      </c>
      <c r="IT129" s="226">
        <f>IT128*PrSettings!$F$8</f>
        <v>0</v>
      </c>
      <c r="IY129" s="853" t="str">
        <f>Language!$E$207</f>
        <v>Points:</v>
      </c>
      <c r="IZ129" s="854"/>
      <c r="JA129" s="855"/>
      <c r="JB129" s="225">
        <f>JB128*PrSettings!$F$9</f>
        <v>0</v>
      </c>
      <c r="JC129" s="225">
        <f>JC128*PrSettings!$F$4</f>
        <v>0</v>
      </c>
      <c r="JD129" s="225">
        <f>JD128*PrSettings!$F$5</f>
        <v>0</v>
      </c>
      <c r="JE129" s="225">
        <f>JE128*PrSettings!$F$6</f>
        <v>0</v>
      </c>
      <c r="JF129" s="225">
        <f>JF128*PrSettings!$F$7</f>
        <v>0</v>
      </c>
      <c r="JG129" s="226">
        <f>JG128*PrSettings!$F$8</f>
        <v>0</v>
      </c>
      <c r="JL129" s="853" t="str">
        <f>Language!$E$207</f>
        <v>Points:</v>
      </c>
      <c r="JM129" s="854"/>
      <c r="JN129" s="855"/>
      <c r="JO129" s="225">
        <f>JO128*PrSettings!$F$9</f>
        <v>0</v>
      </c>
      <c r="JP129" s="225">
        <f>JP128*PrSettings!$F$4</f>
        <v>0</v>
      </c>
      <c r="JQ129" s="225">
        <f>JQ128*PrSettings!$F$5</f>
        <v>0</v>
      </c>
      <c r="JR129" s="225">
        <f>JR128*PrSettings!$F$6</f>
        <v>0</v>
      </c>
      <c r="JS129" s="225">
        <f>JS128*PrSettings!$F$7</f>
        <v>0</v>
      </c>
      <c r="JT129" s="226">
        <f>JT128*PrSettings!$F$8</f>
        <v>0</v>
      </c>
      <c r="JY129" s="853" t="str">
        <f>Language!$E$207</f>
        <v>Points:</v>
      </c>
      <c r="JZ129" s="854"/>
      <c r="KA129" s="855"/>
      <c r="KB129" s="225">
        <f>KB128*PrSettings!$F$9</f>
        <v>0</v>
      </c>
      <c r="KC129" s="225">
        <f>KC128*PrSettings!$F$4</f>
        <v>0</v>
      </c>
      <c r="KD129" s="225">
        <f>KD128*PrSettings!$F$5</f>
        <v>0</v>
      </c>
      <c r="KE129" s="225">
        <f>KE128*PrSettings!$F$6</f>
        <v>0</v>
      </c>
      <c r="KF129" s="225">
        <f>KF128*PrSettings!$F$7</f>
        <v>0</v>
      </c>
      <c r="KG129" s="226">
        <f>KG128*PrSettings!$F$8</f>
        <v>0</v>
      </c>
      <c r="KL129" s="853" t="str">
        <f>Language!$E$207</f>
        <v>Points:</v>
      </c>
      <c r="KM129" s="854"/>
      <c r="KN129" s="855"/>
      <c r="KO129" s="225">
        <f>KO128*PrSettings!$F$9</f>
        <v>0</v>
      </c>
      <c r="KP129" s="225">
        <f>KP128*PrSettings!$F$4</f>
        <v>0</v>
      </c>
      <c r="KQ129" s="225">
        <f>KQ128*PrSettings!$F$5</f>
        <v>0</v>
      </c>
      <c r="KR129" s="225">
        <f>KR128*PrSettings!$F$6</f>
        <v>0</v>
      </c>
      <c r="KS129" s="225">
        <f>KS128*PrSettings!$F$7</f>
        <v>0</v>
      </c>
      <c r="KT129" s="226">
        <f>KT128*PrSettings!$F$8</f>
        <v>0</v>
      </c>
      <c r="KY129" s="853" t="str">
        <f>Language!$E$207</f>
        <v>Points:</v>
      </c>
      <c r="KZ129" s="854"/>
      <c r="LA129" s="855"/>
      <c r="LB129" s="225">
        <f>LB128*PrSettings!$F$9</f>
        <v>0</v>
      </c>
      <c r="LC129" s="225">
        <f>LC128*PrSettings!$F$4</f>
        <v>0</v>
      </c>
      <c r="LD129" s="225">
        <f>LD128*PrSettings!$F$5</f>
        <v>0</v>
      </c>
      <c r="LE129" s="225">
        <f>LE128*PrSettings!$F$6</f>
        <v>0</v>
      </c>
      <c r="LF129" s="225">
        <f>LF128*PrSettings!$F$7</f>
        <v>0</v>
      </c>
      <c r="LG129" s="226">
        <f>LG128*PrSettings!$F$8</f>
        <v>0</v>
      </c>
      <c r="LL129" s="853" t="str">
        <f>Language!$E$207</f>
        <v>Points:</v>
      </c>
      <c r="LM129" s="854"/>
      <c r="LN129" s="855"/>
      <c r="LO129" s="225">
        <f>LO128*PrSettings!$F$9</f>
        <v>0</v>
      </c>
      <c r="LP129" s="225">
        <f>LP128*PrSettings!$F$4</f>
        <v>0</v>
      </c>
      <c r="LQ129" s="225">
        <f>LQ128*PrSettings!$F$5</f>
        <v>0</v>
      </c>
      <c r="LR129" s="225">
        <f>LR128*PrSettings!$F$6</f>
        <v>0</v>
      </c>
      <c r="LS129" s="225">
        <f>LS128*PrSettings!$F$7</f>
        <v>0</v>
      </c>
      <c r="LT129" s="226">
        <f>LT128*PrSettings!$F$8</f>
        <v>0</v>
      </c>
      <c r="LY129" s="853" t="str">
        <f>Language!$E$207</f>
        <v>Points:</v>
      </c>
      <c r="LZ129" s="854"/>
      <c r="MA129" s="855"/>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59" t="str">
        <f>Language!$E$208</f>
        <v>Sum:</v>
      </c>
      <c r="M130" s="860"/>
      <c r="N130" s="861"/>
      <c r="O130" s="862">
        <f>SUM(O129:T129)</f>
        <v>0</v>
      </c>
      <c r="P130" s="863"/>
      <c r="Q130" s="863"/>
      <c r="R130" s="863"/>
      <c r="S130" s="863"/>
      <c r="T130" s="864"/>
      <c r="Y130" s="859" t="str">
        <f>Language!$E$208</f>
        <v>Sum:</v>
      </c>
      <c r="Z130" s="860"/>
      <c r="AA130" s="861"/>
      <c r="AB130" s="862">
        <f>SUM(AB129:AG129)</f>
        <v>0</v>
      </c>
      <c r="AC130" s="863"/>
      <c r="AD130" s="863"/>
      <c r="AE130" s="863"/>
      <c r="AF130" s="863"/>
      <c r="AG130" s="864"/>
      <c r="AL130" s="859" t="str">
        <f>Language!$E$208</f>
        <v>Sum:</v>
      </c>
      <c r="AM130" s="860"/>
      <c r="AN130" s="861"/>
      <c r="AO130" s="862">
        <f>SUM(AO129:AT129)</f>
        <v>0</v>
      </c>
      <c r="AP130" s="863"/>
      <c r="AQ130" s="863"/>
      <c r="AR130" s="863"/>
      <c r="AS130" s="863"/>
      <c r="AT130" s="864"/>
      <c r="AY130" s="859" t="str">
        <f>Language!$E$208</f>
        <v>Sum:</v>
      </c>
      <c r="AZ130" s="860"/>
      <c r="BA130" s="861"/>
      <c r="BB130" s="862">
        <f>SUM(BB129:BG129)</f>
        <v>0</v>
      </c>
      <c r="BC130" s="863"/>
      <c r="BD130" s="863"/>
      <c r="BE130" s="863"/>
      <c r="BF130" s="863"/>
      <c r="BG130" s="864"/>
      <c r="BL130" s="859" t="str">
        <f>Language!$E$208</f>
        <v>Sum:</v>
      </c>
      <c r="BM130" s="860"/>
      <c r="BN130" s="861"/>
      <c r="BO130" s="862">
        <f>SUM(BO129:BT129)</f>
        <v>0</v>
      </c>
      <c r="BP130" s="863"/>
      <c r="BQ130" s="863"/>
      <c r="BR130" s="863"/>
      <c r="BS130" s="863"/>
      <c r="BT130" s="864"/>
      <c r="BY130" s="859" t="str">
        <f>Language!$E$208</f>
        <v>Sum:</v>
      </c>
      <c r="BZ130" s="860"/>
      <c r="CA130" s="861"/>
      <c r="CB130" s="862">
        <f>SUM(CB129:CG129)</f>
        <v>0</v>
      </c>
      <c r="CC130" s="863"/>
      <c r="CD130" s="863"/>
      <c r="CE130" s="863"/>
      <c r="CF130" s="863"/>
      <c r="CG130" s="864"/>
      <c r="CL130" s="859" t="str">
        <f>Language!$E$208</f>
        <v>Sum:</v>
      </c>
      <c r="CM130" s="860"/>
      <c r="CN130" s="861"/>
      <c r="CO130" s="862">
        <f>SUM(CO129:CT129)</f>
        <v>0</v>
      </c>
      <c r="CP130" s="863"/>
      <c r="CQ130" s="863"/>
      <c r="CR130" s="863"/>
      <c r="CS130" s="863"/>
      <c r="CT130" s="864"/>
      <c r="CY130" s="859" t="str">
        <f>Language!$E$208</f>
        <v>Sum:</v>
      </c>
      <c r="CZ130" s="860"/>
      <c r="DA130" s="861"/>
      <c r="DB130" s="862">
        <f>SUM(DB129:DG129)</f>
        <v>0</v>
      </c>
      <c r="DC130" s="863"/>
      <c r="DD130" s="863"/>
      <c r="DE130" s="863"/>
      <c r="DF130" s="863"/>
      <c r="DG130" s="864"/>
      <c r="DL130" s="859" t="str">
        <f>Language!$E$208</f>
        <v>Sum:</v>
      </c>
      <c r="DM130" s="860"/>
      <c r="DN130" s="861"/>
      <c r="DO130" s="862">
        <f>SUM(DO129:DT129)</f>
        <v>0</v>
      </c>
      <c r="DP130" s="863"/>
      <c r="DQ130" s="863"/>
      <c r="DR130" s="863"/>
      <c r="DS130" s="863"/>
      <c r="DT130" s="864"/>
      <c r="DY130" s="859" t="str">
        <f>Language!$E$208</f>
        <v>Sum:</v>
      </c>
      <c r="DZ130" s="860"/>
      <c r="EA130" s="861"/>
      <c r="EB130" s="862">
        <f>SUM(EB129:EG129)</f>
        <v>0</v>
      </c>
      <c r="EC130" s="863"/>
      <c r="ED130" s="863"/>
      <c r="EE130" s="863"/>
      <c r="EF130" s="863"/>
      <c r="EG130" s="864"/>
      <c r="EL130" s="859" t="str">
        <f>Language!$E$208</f>
        <v>Sum:</v>
      </c>
      <c r="EM130" s="860"/>
      <c r="EN130" s="861"/>
      <c r="EO130" s="862">
        <f>SUM(EO129:ET129)</f>
        <v>0</v>
      </c>
      <c r="EP130" s="863"/>
      <c r="EQ130" s="863"/>
      <c r="ER130" s="863"/>
      <c r="ES130" s="863"/>
      <c r="ET130" s="864"/>
      <c r="EY130" s="859" t="str">
        <f>Language!$E$208</f>
        <v>Sum:</v>
      </c>
      <c r="EZ130" s="860"/>
      <c r="FA130" s="861"/>
      <c r="FB130" s="862">
        <f>SUM(FB129:FG129)</f>
        <v>0</v>
      </c>
      <c r="FC130" s="863"/>
      <c r="FD130" s="863"/>
      <c r="FE130" s="863"/>
      <c r="FF130" s="863"/>
      <c r="FG130" s="864"/>
      <c r="FL130" s="859" t="str">
        <f>Language!$E$208</f>
        <v>Sum:</v>
      </c>
      <c r="FM130" s="860"/>
      <c r="FN130" s="861"/>
      <c r="FO130" s="862">
        <f>SUM(FO129:FT129)</f>
        <v>0</v>
      </c>
      <c r="FP130" s="863"/>
      <c r="FQ130" s="863"/>
      <c r="FR130" s="863"/>
      <c r="FS130" s="863"/>
      <c r="FT130" s="864"/>
      <c r="FY130" s="859" t="str">
        <f>Language!$E$208</f>
        <v>Sum:</v>
      </c>
      <c r="FZ130" s="860"/>
      <c r="GA130" s="861"/>
      <c r="GB130" s="862">
        <f>SUM(GB129:GG129)</f>
        <v>0</v>
      </c>
      <c r="GC130" s="863"/>
      <c r="GD130" s="863"/>
      <c r="GE130" s="863"/>
      <c r="GF130" s="863"/>
      <c r="GG130" s="864"/>
      <c r="GL130" s="859" t="str">
        <f>Language!$E$208</f>
        <v>Sum:</v>
      </c>
      <c r="GM130" s="860"/>
      <c r="GN130" s="861"/>
      <c r="GO130" s="862">
        <f>SUM(GO129:GT129)</f>
        <v>0</v>
      </c>
      <c r="GP130" s="863"/>
      <c r="GQ130" s="863"/>
      <c r="GR130" s="863"/>
      <c r="GS130" s="863"/>
      <c r="GT130" s="864"/>
      <c r="GY130" s="859" t="str">
        <f>Language!$E$208</f>
        <v>Sum:</v>
      </c>
      <c r="GZ130" s="860"/>
      <c r="HA130" s="861"/>
      <c r="HB130" s="862">
        <f>SUM(HB129:HG129)</f>
        <v>0</v>
      </c>
      <c r="HC130" s="863"/>
      <c r="HD130" s="863"/>
      <c r="HE130" s="863"/>
      <c r="HF130" s="863"/>
      <c r="HG130" s="864"/>
      <c r="HL130" s="859" t="str">
        <f>Language!$E$208</f>
        <v>Sum:</v>
      </c>
      <c r="HM130" s="860"/>
      <c r="HN130" s="861"/>
      <c r="HO130" s="862">
        <f>SUM(HO129:HT129)</f>
        <v>0</v>
      </c>
      <c r="HP130" s="863"/>
      <c r="HQ130" s="863"/>
      <c r="HR130" s="863"/>
      <c r="HS130" s="863"/>
      <c r="HT130" s="864"/>
      <c r="HY130" s="859" t="str">
        <f>Language!$E$208</f>
        <v>Sum:</v>
      </c>
      <c r="HZ130" s="860"/>
      <c r="IA130" s="861"/>
      <c r="IB130" s="862">
        <f>SUM(IB129:IG129)</f>
        <v>0</v>
      </c>
      <c r="IC130" s="863"/>
      <c r="ID130" s="863"/>
      <c r="IE130" s="863"/>
      <c r="IF130" s="863"/>
      <c r="IG130" s="864"/>
      <c r="IL130" s="859" t="str">
        <f>Language!$E$208</f>
        <v>Sum:</v>
      </c>
      <c r="IM130" s="860"/>
      <c r="IN130" s="861"/>
      <c r="IO130" s="862">
        <f>SUM(IO129:IT129)</f>
        <v>0</v>
      </c>
      <c r="IP130" s="863"/>
      <c r="IQ130" s="863"/>
      <c r="IR130" s="863"/>
      <c r="IS130" s="863"/>
      <c r="IT130" s="864"/>
      <c r="IY130" s="859" t="str">
        <f>Language!$E$208</f>
        <v>Sum:</v>
      </c>
      <c r="IZ130" s="860"/>
      <c r="JA130" s="861"/>
      <c r="JB130" s="862">
        <f>SUM(JB129:JG129)</f>
        <v>0</v>
      </c>
      <c r="JC130" s="863"/>
      <c r="JD130" s="863"/>
      <c r="JE130" s="863"/>
      <c r="JF130" s="863"/>
      <c r="JG130" s="864"/>
      <c r="JL130" s="859" t="str">
        <f>Language!$E$208</f>
        <v>Sum:</v>
      </c>
      <c r="JM130" s="860"/>
      <c r="JN130" s="861"/>
      <c r="JO130" s="862">
        <f>SUM(JO129:JT129)</f>
        <v>0</v>
      </c>
      <c r="JP130" s="863"/>
      <c r="JQ130" s="863"/>
      <c r="JR130" s="863"/>
      <c r="JS130" s="863"/>
      <c r="JT130" s="864"/>
      <c r="JY130" s="859" t="str">
        <f>Language!$E$208</f>
        <v>Sum:</v>
      </c>
      <c r="JZ130" s="860"/>
      <c r="KA130" s="861"/>
      <c r="KB130" s="862">
        <f>SUM(KB129:KG129)</f>
        <v>0</v>
      </c>
      <c r="KC130" s="863"/>
      <c r="KD130" s="863"/>
      <c r="KE130" s="863"/>
      <c r="KF130" s="863"/>
      <c r="KG130" s="864"/>
      <c r="KL130" s="859" t="str">
        <f>Language!$E$208</f>
        <v>Sum:</v>
      </c>
      <c r="KM130" s="860"/>
      <c r="KN130" s="861"/>
      <c r="KO130" s="862">
        <f>SUM(KO129:KT129)</f>
        <v>0</v>
      </c>
      <c r="KP130" s="863"/>
      <c r="KQ130" s="863"/>
      <c r="KR130" s="863"/>
      <c r="KS130" s="863"/>
      <c r="KT130" s="864"/>
      <c r="KY130" s="859" t="str">
        <f>Language!$E$208</f>
        <v>Sum:</v>
      </c>
      <c r="KZ130" s="860"/>
      <c r="LA130" s="861"/>
      <c r="LB130" s="862">
        <f>SUM(LB129:LG129)</f>
        <v>0</v>
      </c>
      <c r="LC130" s="863"/>
      <c r="LD130" s="863"/>
      <c r="LE130" s="863"/>
      <c r="LF130" s="863"/>
      <c r="LG130" s="864"/>
      <c r="LL130" s="859" t="str">
        <f>Language!$E$208</f>
        <v>Sum:</v>
      </c>
      <c r="LM130" s="860"/>
      <c r="LN130" s="861"/>
      <c r="LO130" s="862">
        <f>SUM(LO129:LT129)</f>
        <v>0</v>
      </c>
      <c r="LP130" s="863"/>
      <c r="LQ130" s="863"/>
      <c r="LR130" s="863"/>
      <c r="LS130" s="863"/>
      <c r="LT130" s="864"/>
      <c r="LY130" s="859" t="str">
        <f>Language!$E$208</f>
        <v>Sum:</v>
      </c>
      <c r="LZ130" s="860"/>
      <c r="MA130" s="861"/>
      <c r="MB130" s="862">
        <f>SUM(MB129:MG129)</f>
        <v>0</v>
      </c>
      <c r="MC130" s="863"/>
      <c r="MD130" s="863"/>
      <c r="ME130" s="863"/>
      <c r="MF130" s="863"/>
      <c r="MG130" s="864"/>
    </row>
    <row r="131" spans="2:345" ht="30.75" customHeight="1" thickTop="1" x14ac:dyDescent="0.3"/>
    <row r="132" spans="2:345" ht="16.2" thickBot="1" x14ac:dyDescent="0.35">
      <c r="B132" s="882" t="str">
        <f>Language!$E$221</f>
        <v>Hint</v>
      </c>
      <c r="C132" s="882"/>
      <c r="D132" s="882"/>
      <c r="E132" s="882"/>
      <c r="F132" s="882"/>
      <c r="G132" s="882"/>
      <c r="H132" s="882"/>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67" t="str">
        <f>Language!$E$230</f>
        <v>For example, to add ten more people, select columns HI through MG and copy them to the right. Finished.
(Remove sheet protection!)</v>
      </c>
      <c r="C133" s="868"/>
      <c r="D133" s="868"/>
      <c r="E133" s="868"/>
      <c r="F133" s="868"/>
      <c r="G133" s="868"/>
      <c r="H133" s="869"/>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70"/>
      <c r="C134" s="871"/>
      <c r="D134" s="871"/>
      <c r="E134" s="871"/>
      <c r="F134" s="871"/>
      <c r="G134" s="871"/>
      <c r="H134" s="872"/>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70"/>
      <c r="C135" s="871"/>
      <c r="D135" s="871"/>
      <c r="E135" s="871"/>
      <c r="F135" s="871"/>
      <c r="G135" s="871"/>
      <c r="H135" s="872"/>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70" t="str">
        <f>Language!$E$244</f>
        <v>In the round of 16, quarter-finals and semi-finals, the result is predicted without a penalty shoot-out. A tie can also be entered. In the final and third-place match, the total score (including penalty shoot-outs) must be entered.</v>
      </c>
      <c r="C136" s="871"/>
      <c r="D136" s="871"/>
      <c r="E136" s="871"/>
      <c r="F136" s="871"/>
      <c r="G136" s="871"/>
      <c r="H136" s="872"/>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70"/>
      <c r="C137" s="871"/>
      <c r="D137" s="871"/>
      <c r="E137" s="871"/>
      <c r="F137" s="871"/>
      <c r="G137" s="871"/>
      <c r="H137" s="872"/>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70"/>
      <c r="C138" s="871"/>
      <c r="D138" s="871"/>
      <c r="E138" s="871"/>
      <c r="F138" s="871"/>
      <c r="G138" s="871"/>
      <c r="H138" s="872"/>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70" t="str">
        <f>Language!$E$232</f>
        <v>The factors for the individual categories and other presettings can be selected on the 'PrSettings' worksheet.</v>
      </c>
      <c r="C139" s="871"/>
      <c r="D139" s="871"/>
      <c r="E139" s="871"/>
      <c r="F139" s="871"/>
      <c r="G139" s="871"/>
      <c r="H139" s="872"/>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70"/>
      <c r="C140" s="871"/>
      <c r="D140" s="871"/>
      <c r="E140" s="871"/>
      <c r="F140" s="871"/>
      <c r="G140" s="871"/>
      <c r="H140" s="872"/>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73"/>
      <c r="C141" s="874"/>
      <c r="D141" s="874"/>
      <c r="E141" s="874"/>
      <c r="F141" s="874"/>
      <c r="G141" s="874"/>
      <c r="H141" s="875"/>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919" t="str">
        <f>Language!$E$223</f>
        <v>Settings</v>
      </c>
      <c r="C1" s="919"/>
      <c r="D1" s="919"/>
      <c r="E1" s="919"/>
      <c r="F1" s="919"/>
    </row>
    <row r="2" spans="2:15" x14ac:dyDescent="0.3"/>
    <row r="3" spans="2:15" ht="16.2" thickBot="1" x14ac:dyDescent="0.35">
      <c r="B3" s="923" t="str">
        <f>Language!$E$222</f>
        <v>Factors</v>
      </c>
      <c r="C3" s="923"/>
      <c r="D3" s="923"/>
      <c r="E3" s="923"/>
      <c r="F3" s="923"/>
      <c r="H3" s="923" t="str">
        <f>Language!$E$223</f>
        <v>Settings</v>
      </c>
      <c r="I3" s="923"/>
      <c r="J3" s="923"/>
      <c r="K3" s="923"/>
      <c r="L3" s="923"/>
      <c r="M3" s="923"/>
      <c r="N3" s="923"/>
      <c r="O3" s="923"/>
    </row>
    <row r="4" spans="2:15" ht="24" thickTop="1" x14ac:dyDescent="0.3">
      <c r="B4" s="927" t="str">
        <f>Language!$E$225</f>
        <v>Won/Draw/Loss:</v>
      </c>
      <c r="C4" s="928"/>
      <c r="D4" s="928"/>
      <c r="E4" s="928"/>
      <c r="F4" s="299">
        <v>5</v>
      </c>
      <c r="H4" s="920" t="str">
        <f>Language!$E$236</f>
        <v>Points for goal difference in the event of a tie:</v>
      </c>
      <c r="I4" s="921"/>
      <c r="J4" s="921"/>
      <c r="K4" s="921"/>
      <c r="L4" s="922"/>
      <c r="M4" s="294" t="s">
        <v>1691</v>
      </c>
      <c r="N4" s="292"/>
      <c r="O4" s="293" t="str">
        <f>IF(M4="●",Language!E237,Language!E238)</f>
        <v>yes</v>
      </c>
    </row>
    <row r="5" spans="2:15" ht="18" customHeight="1" x14ac:dyDescent="0.3">
      <c r="B5" s="897" t="str">
        <f>Language!$E$226</f>
        <v>goal difference:</v>
      </c>
      <c r="C5" s="898"/>
      <c r="D5" s="898"/>
      <c r="E5" s="898"/>
      <c r="F5" s="300">
        <v>5</v>
      </c>
      <c r="H5" s="924"/>
      <c r="I5" s="925"/>
      <c r="J5" s="925"/>
      <c r="K5" s="925"/>
      <c r="L5" s="925"/>
      <c r="M5" s="925"/>
      <c r="N5" s="925"/>
      <c r="O5" s="926"/>
    </row>
    <row r="6" spans="2:15" ht="18" customHeight="1" x14ac:dyDescent="0.3">
      <c r="B6" s="897" t="str">
        <f>Language!$E$228</f>
        <v>goals exact:</v>
      </c>
      <c r="C6" s="898"/>
      <c r="D6" s="898"/>
      <c r="E6" s="898"/>
      <c r="F6" s="300">
        <v>10</v>
      </c>
      <c r="H6" s="892" t="str">
        <f>Language!$E$239</f>
        <v>Minimum number for 'Many Goals' in the event of a tie:</v>
      </c>
      <c r="I6" s="893"/>
      <c r="J6" s="893"/>
      <c r="K6" s="893"/>
      <c r="L6" s="894"/>
      <c r="M6" s="295">
        <v>4</v>
      </c>
      <c r="N6" s="297"/>
      <c r="O6" s="290"/>
    </row>
    <row r="7" spans="2:15" ht="18" customHeight="1" x14ac:dyDescent="0.3">
      <c r="B7" s="897" t="str">
        <f>Language!$E$227</f>
        <v>Many goals - good approximation</v>
      </c>
      <c r="C7" s="898"/>
      <c r="D7" s="898"/>
      <c r="E7" s="898"/>
      <c r="F7" s="300">
        <v>3</v>
      </c>
      <c r="H7" s="892" t="str">
        <f>Language!$E$240</f>
        <v>Minimum number for a large goal difference:</v>
      </c>
      <c r="I7" s="893"/>
      <c r="J7" s="893"/>
      <c r="K7" s="893"/>
      <c r="L7" s="894"/>
      <c r="M7" s="295">
        <v>4</v>
      </c>
      <c r="N7" s="298"/>
      <c r="O7" s="290"/>
    </row>
    <row r="8" spans="2:15" ht="18" customHeight="1" x14ac:dyDescent="0.3">
      <c r="B8" s="905" t="str">
        <f>Language!$E$229</f>
        <v>correct team (knockout phase):</v>
      </c>
      <c r="C8" s="906"/>
      <c r="D8" s="906"/>
      <c r="E8" s="906"/>
      <c r="F8" s="301">
        <v>10</v>
      </c>
      <c r="H8" s="892" t="str">
        <f>Language!$E$243</f>
        <v>Minimum number for a large sum of goals:</v>
      </c>
      <c r="I8" s="893"/>
      <c r="J8" s="893"/>
      <c r="K8" s="893"/>
      <c r="L8" s="894"/>
      <c r="M8" s="295">
        <v>8</v>
      </c>
      <c r="O8" s="290"/>
    </row>
    <row r="9" spans="2:15" ht="18" customHeight="1" thickBot="1" x14ac:dyDescent="0.35">
      <c r="B9" s="917" t="str">
        <f>Language!$E$235</f>
        <v>Final/Third-Place Winner:</v>
      </c>
      <c r="C9" s="918"/>
      <c r="D9" s="918"/>
      <c r="E9" s="918"/>
      <c r="F9" s="302">
        <v>10</v>
      </c>
      <c r="H9" s="895"/>
      <c r="I9" s="896"/>
      <c r="J9" s="896"/>
      <c r="K9" s="896"/>
      <c r="L9" s="896"/>
      <c r="M9" s="304"/>
      <c r="N9" s="304"/>
      <c r="O9" s="291"/>
    </row>
    <row r="10" spans="2:15" ht="15" thickTop="1" x14ac:dyDescent="0.3"/>
    <row r="11" spans="2:15" x14ac:dyDescent="0.3"/>
    <row r="12" spans="2:15" ht="16.2" thickBot="1" x14ac:dyDescent="0.35">
      <c r="H12" s="907" t="str">
        <f>Language!$E$221</f>
        <v>Hint</v>
      </c>
      <c r="I12" s="907"/>
      <c r="J12" s="907"/>
      <c r="K12" s="907"/>
      <c r="L12" s="907"/>
      <c r="M12" s="907"/>
      <c r="N12" s="907"/>
      <c r="O12" s="907"/>
    </row>
    <row r="13" spans="2:15" ht="21.75" customHeight="1" thickTop="1" x14ac:dyDescent="0.3">
      <c r="H13" s="911" t="s">
        <v>26</v>
      </c>
      <c r="I13" s="912"/>
      <c r="J13" s="912"/>
      <c r="K13" s="912"/>
      <c r="L13" s="912"/>
      <c r="M13" s="912"/>
      <c r="N13" s="912"/>
      <c r="O13" s="913"/>
    </row>
    <row r="14" spans="2:15" ht="15" customHeight="1" x14ac:dyDescent="0.3">
      <c r="H14" s="89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00"/>
      <c r="J14" s="900"/>
      <c r="K14" s="900"/>
      <c r="L14" s="900"/>
      <c r="M14" s="900"/>
      <c r="N14" s="900"/>
      <c r="O14" s="901"/>
    </row>
    <row r="15" spans="2:15" ht="15" customHeight="1" x14ac:dyDescent="0.3">
      <c r="H15" s="899"/>
      <c r="I15" s="900"/>
      <c r="J15" s="900"/>
      <c r="K15" s="900"/>
      <c r="L15" s="900"/>
      <c r="M15" s="900"/>
      <c r="N15" s="900"/>
      <c r="O15" s="901"/>
    </row>
    <row r="16" spans="2:15" ht="15" customHeight="1" x14ac:dyDescent="0.3">
      <c r="H16" s="899"/>
      <c r="I16" s="900"/>
      <c r="J16" s="900"/>
      <c r="K16" s="900"/>
      <c r="L16" s="900"/>
      <c r="M16" s="900"/>
      <c r="N16" s="900"/>
      <c r="O16" s="901"/>
    </row>
    <row r="17" spans="8:15" ht="15" customHeight="1" x14ac:dyDescent="0.3">
      <c r="H17" s="899"/>
      <c r="I17" s="900"/>
      <c r="J17" s="900"/>
      <c r="K17" s="900"/>
      <c r="L17" s="900"/>
      <c r="M17" s="900"/>
      <c r="N17" s="900"/>
      <c r="O17" s="901"/>
    </row>
    <row r="18" spans="8:15" ht="15" customHeight="1" x14ac:dyDescent="0.3">
      <c r="H18" s="908"/>
      <c r="I18" s="909"/>
      <c r="J18" s="909"/>
      <c r="K18" s="909"/>
      <c r="L18" s="909"/>
      <c r="M18" s="909"/>
      <c r="N18" s="909"/>
      <c r="O18" s="910"/>
    </row>
    <row r="19" spans="8:15" ht="30" customHeight="1" x14ac:dyDescent="0.3">
      <c r="H19" s="914" t="s">
        <v>27</v>
      </c>
      <c r="I19" s="915"/>
      <c r="J19" s="915"/>
      <c r="K19" s="915"/>
      <c r="L19" s="915"/>
      <c r="M19" s="915"/>
      <c r="N19" s="915"/>
      <c r="O19" s="916"/>
    </row>
    <row r="20" spans="8:15" ht="15" customHeight="1" x14ac:dyDescent="0.3">
      <c r="H20" s="89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00"/>
      <c r="J20" s="900"/>
      <c r="K20" s="900"/>
      <c r="L20" s="900"/>
      <c r="M20" s="900"/>
      <c r="N20" s="900"/>
      <c r="O20" s="901"/>
    </row>
    <row r="21" spans="8:15" x14ac:dyDescent="0.3">
      <c r="H21" s="899"/>
      <c r="I21" s="900"/>
      <c r="J21" s="900"/>
      <c r="K21" s="900"/>
      <c r="L21" s="900"/>
      <c r="M21" s="900"/>
      <c r="N21" s="900"/>
      <c r="O21" s="901"/>
    </row>
    <row r="22" spans="8:15" x14ac:dyDescent="0.3">
      <c r="H22" s="899"/>
      <c r="I22" s="900"/>
      <c r="J22" s="900"/>
      <c r="K22" s="900"/>
      <c r="L22" s="900"/>
      <c r="M22" s="900"/>
      <c r="N22" s="900"/>
      <c r="O22" s="901"/>
    </row>
    <row r="23" spans="8:15" x14ac:dyDescent="0.3">
      <c r="H23" s="899"/>
      <c r="I23" s="900"/>
      <c r="J23" s="900"/>
      <c r="K23" s="900"/>
      <c r="L23" s="900"/>
      <c r="M23" s="900"/>
      <c r="N23" s="900"/>
      <c r="O23" s="901"/>
    </row>
    <row r="24" spans="8:15" x14ac:dyDescent="0.3">
      <c r="H24" s="899"/>
      <c r="I24" s="900"/>
      <c r="J24" s="900"/>
      <c r="K24" s="900"/>
      <c r="L24" s="900"/>
      <c r="M24" s="900"/>
      <c r="N24" s="900"/>
      <c r="O24" s="901"/>
    </row>
    <row r="25" spans="8:15" x14ac:dyDescent="0.3">
      <c r="H25" s="899"/>
      <c r="I25" s="900"/>
      <c r="J25" s="900"/>
      <c r="K25" s="900"/>
      <c r="L25" s="900"/>
      <c r="M25" s="900"/>
      <c r="N25" s="900"/>
      <c r="O25" s="901"/>
    </row>
    <row r="26" spans="8:15" x14ac:dyDescent="0.3">
      <c r="H26" s="899"/>
      <c r="I26" s="900"/>
      <c r="J26" s="900"/>
      <c r="K26" s="900"/>
      <c r="L26" s="900"/>
      <c r="M26" s="900"/>
      <c r="N26" s="900"/>
      <c r="O26" s="901"/>
    </row>
    <row r="27" spans="8:15" x14ac:dyDescent="0.3">
      <c r="H27" s="899"/>
      <c r="I27" s="900"/>
      <c r="J27" s="900"/>
      <c r="K27" s="900"/>
      <c r="L27" s="900"/>
      <c r="M27" s="900"/>
      <c r="N27" s="900"/>
      <c r="O27" s="901"/>
    </row>
    <row r="28" spans="8:15" ht="15" thickBot="1" x14ac:dyDescent="0.35">
      <c r="H28" s="902"/>
      <c r="I28" s="903"/>
      <c r="J28" s="903"/>
      <c r="K28" s="903"/>
      <c r="L28" s="903"/>
      <c r="M28" s="903"/>
      <c r="N28" s="903"/>
      <c r="O28" s="904"/>
    </row>
    <row r="29" spans="8:15" ht="15" thickTop="1" x14ac:dyDescent="0.3"/>
    <row r="30" spans="8:15" x14ac:dyDescent="0.3"/>
    <row r="31" spans="8:15" x14ac:dyDescent="0.3"/>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2026-06-13T07:04:48Z</dcterms:modified>
</cp:coreProperties>
</file>